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civ\IGA_MM\Team_WIJ\WVL versterking houtribdijk Lakeside\5 Data management\Logboek\"/>
    </mc:Choice>
  </mc:AlternateContent>
  <bookViews>
    <workbookView xWindow="-105" yWindow="-105" windowWidth="23250" windowHeight="12570" firstSheet="4" activeTab="5"/>
  </bookViews>
  <sheets>
    <sheet name="FL65" sheetId="1" r:id="rId1"/>
    <sheet name="FL65A" sheetId="12" r:id="rId2"/>
    <sheet name="FL65B" sheetId="13" r:id="rId3"/>
    <sheet name="FL65C" sheetId="14" r:id="rId4"/>
    <sheet name="FL66" sheetId="4" r:id="rId5"/>
    <sheet name="FL67" sheetId="5" r:id="rId6"/>
    <sheet name="FL67A" sheetId="16" r:id="rId7"/>
    <sheet name="FL67B" sheetId="17" r:id="rId8"/>
    <sheet name="FL67C" sheetId="18" r:id="rId9"/>
    <sheet name="FL68" sheetId="6" r:id="rId10"/>
    <sheet name="FL68A" sheetId="22" r:id="rId11"/>
    <sheet name="FL68B" sheetId="23" r:id="rId12"/>
    <sheet name="FL68C" sheetId="24" r:id="rId13"/>
    <sheet name="FL69" sheetId="7" r:id="rId14"/>
    <sheet name="FL69A" sheetId="9" r:id="rId15"/>
    <sheet name="FL69B" sheetId="10" r:id="rId16"/>
    <sheet name="FL69C" sheetId="11" r:id="rId17"/>
    <sheet name="FL70" sheetId="8" r:id="rId18"/>
    <sheet name="FL70A" sheetId="19" r:id="rId19"/>
    <sheet name="FL70B" sheetId="20" r:id="rId20"/>
    <sheet name="FL70C" sheetId="21" r:id="rId21"/>
    <sheet name="BUOY1" sheetId="15" r:id="rId22"/>
  </sheets>
  <definedNames>
    <definedName name="_xlnm._FilterDatabase" localSheetId="21" hidden="1">BUOY1!$A$1:$M$236</definedName>
    <definedName name="_xlnm._FilterDatabase" localSheetId="0" hidden="1">'FL65'!$A$1:$M$239</definedName>
    <definedName name="_xlnm._FilterDatabase" localSheetId="1" hidden="1">FL65A!$A$1:$M$240</definedName>
    <definedName name="_xlnm._FilterDatabase" localSheetId="2" hidden="1">FL65B!$A$1:$M$241</definedName>
    <definedName name="_xlnm._FilterDatabase" localSheetId="3" hidden="1">FL65C!$A$1:$M$240</definedName>
    <definedName name="_xlnm._FilterDatabase" localSheetId="4" hidden="1">'FL66'!$A$1:$M$240</definedName>
    <definedName name="_xlnm._FilterDatabase" localSheetId="5" hidden="1">'FL67'!$A$1:$M$241</definedName>
    <definedName name="_xlnm._FilterDatabase" localSheetId="6" hidden="1">FL67A!$A$1:$M$206</definedName>
    <definedName name="_xlnm._FilterDatabase" localSheetId="7" hidden="1">FL67B!$A$1:$M$237</definedName>
    <definedName name="_xlnm._FilterDatabase" localSheetId="8" hidden="1">FL67C!$A$1:$M$240</definedName>
    <definedName name="_xlnm._FilterDatabase" localSheetId="9" hidden="1">'FL68'!$A$1:$M$234</definedName>
    <definedName name="_xlnm._FilterDatabase" localSheetId="10" hidden="1">FL68A!$A$2:$M$235</definedName>
    <definedName name="_xlnm._FilterDatabase" localSheetId="11" hidden="1">FL68B!$A$2:$M$235</definedName>
    <definedName name="_xlnm._FilterDatabase" localSheetId="12" hidden="1">FL68C!$A$2:$M$235</definedName>
    <definedName name="_xlnm._FilterDatabase" localSheetId="13" hidden="1">'FL69'!$A$1:$M$239</definedName>
    <definedName name="_xlnm._FilterDatabase" localSheetId="14" hidden="1">FL69A!$A$1:$M$237</definedName>
    <definedName name="_xlnm._FilterDatabase" localSheetId="15" hidden="1">FL69B!$A$1:$M$240</definedName>
    <definedName name="_xlnm._FilterDatabase" localSheetId="16" hidden="1">FL69C!$A$1:$M$240</definedName>
    <definedName name="_xlnm._FilterDatabase" localSheetId="17" hidden="1">'FL70'!$A$1:$M$240</definedName>
    <definedName name="_xlnm._FilterDatabase" localSheetId="18" hidden="1">FL70A!$A$1:$M$237</definedName>
    <definedName name="_xlnm._FilterDatabase" localSheetId="19" hidden="1">FL70B!$A$1:$M$240</definedName>
    <definedName name="_xlnm._FilterDatabase" localSheetId="20" hidden="1">FL70C!$A$1:$M$225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24" l="1"/>
  <c r="M6" i="24"/>
  <c r="M101" i="6"/>
  <c r="K99" i="6"/>
  <c r="H71" i="18"/>
  <c r="H70" i="18"/>
  <c r="M71" i="18"/>
  <c r="M70" i="18"/>
  <c r="H71" i="17"/>
  <c r="H70" i="17"/>
  <c r="M70" i="17"/>
  <c r="M71" i="17"/>
  <c r="H71" i="16"/>
  <c r="M71" i="16"/>
  <c r="H70" i="16"/>
  <c r="M70" i="16"/>
  <c r="M148" i="5"/>
  <c r="M147" i="5"/>
  <c r="K148" i="5"/>
  <c r="M97" i="6" l="1"/>
  <c r="K95" i="6"/>
  <c r="H14" i="5"/>
  <c r="M142" i="5"/>
  <c r="M141" i="5"/>
  <c r="K142" i="5"/>
  <c r="M3" i="24" l="1"/>
  <c r="M2" i="24"/>
  <c r="M3" i="23"/>
  <c r="M2" i="23"/>
  <c r="M3" i="22"/>
  <c r="M2" i="22"/>
  <c r="M67" i="18"/>
  <c r="M66" i="18"/>
  <c r="M67" i="17"/>
  <c r="M66" i="17"/>
  <c r="H7" i="17"/>
  <c r="M66" i="16"/>
  <c r="M67" i="16"/>
  <c r="H135" i="5" l="1"/>
  <c r="H38" i="13"/>
  <c r="H37" i="13"/>
  <c r="M62" i="18"/>
  <c r="M63" i="18"/>
  <c r="M102" i="8"/>
  <c r="K100" i="8"/>
  <c r="M143" i="7"/>
  <c r="M142" i="7"/>
  <c r="H144" i="7"/>
  <c r="H142" i="7"/>
  <c r="M93" i="6"/>
  <c r="K91" i="6"/>
  <c r="M63" i="17" l="1"/>
  <c r="M62" i="17"/>
  <c r="M63" i="16"/>
  <c r="M62" i="16"/>
  <c r="H63" i="16"/>
  <c r="M136" i="5"/>
  <c r="K136" i="5"/>
  <c r="H136" i="5"/>
  <c r="H137" i="5" s="1"/>
  <c r="M97" i="4"/>
  <c r="I95" i="4"/>
  <c r="K95" i="4" s="1"/>
  <c r="H41" i="14"/>
  <c r="H40" i="14"/>
  <c r="M33" i="12"/>
  <c r="H32" i="12"/>
  <c r="M32" i="12"/>
  <c r="H33" i="12"/>
  <c r="I86" i="1"/>
  <c r="K86" i="1" s="1"/>
  <c r="H37" i="14" l="1"/>
  <c r="H36" i="14"/>
  <c r="M37" i="14"/>
  <c r="M36" i="14"/>
  <c r="H34" i="13"/>
  <c r="M34" i="13"/>
  <c r="H33" i="13"/>
  <c r="M33" i="13"/>
  <c r="H28" i="12"/>
  <c r="M28" i="12"/>
  <c r="H29" i="12"/>
  <c r="M29" i="12"/>
  <c r="M98" i="8" l="1"/>
  <c r="K96" i="8"/>
  <c r="M137" i="7"/>
  <c r="M136" i="7"/>
  <c r="H138" i="7"/>
  <c r="H136" i="7"/>
  <c r="M89" i="6"/>
  <c r="K87" i="6"/>
  <c r="M59" i="18"/>
  <c r="M58" i="18"/>
  <c r="M59" i="17"/>
  <c r="M58" i="17"/>
  <c r="M58" i="16"/>
  <c r="M59" i="16"/>
  <c r="H59" i="16"/>
  <c r="H129" i="5"/>
  <c r="K130" i="5"/>
  <c r="H130" i="5"/>
  <c r="H131" i="5" s="1"/>
  <c r="M93" i="4"/>
  <c r="I91" i="4"/>
  <c r="K91" i="4" s="1"/>
  <c r="M80" i="1"/>
  <c r="I82" i="1"/>
  <c r="K82" i="1" s="1"/>
  <c r="M94" i="8" l="1"/>
  <c r="M78" i="8" s="1"/>
  <c r="K92" i="8"/>
  <c r="M54" i="11"/>
  <c r="M53" i="11"/>
  <c r="K53" i="11"/>
  <c r="M54" i="10"/>
  <c r="M53" i="10"/>
  <c r="H54" i="10"/>
  <c r="K53" i="10"/>
  <c r="M52" i="9"/>
  <c r="M53" i="9"/>
  <c r="H53" i="9"/>
  <c r="K52" i="9"/>
  <c r="M131" i="7"/>
  <c r="M130" i="7"/>
  <c r="H132" i="7"/>
  <c r="H130" i="7"/>
  <c r="K83" i="6"/>
  <c r="M54" i="18"/>
  <c r="M55" i="18"/>
  <c r="M55" i="17"/>
  <c r="M54" i="17"/>
  <c r="L54" i="17"/>
  <c r="H123" i="5"/>
  <c r="M55" i="16"/>
  <c r="M54" i="16"/>
  <c r="H55" i="16"/>
  <c r="L54" i="16"/>
  <c r="M124" i="5"/>
  <c r="L124" i="5"/>
  <c r="K124" i="5"/>
  <c r="H124" i="5"/>
  <c r="H125" i="5" s="1"/>
  <c r="M89" i="4"/>
  <c r="I87" i="4"/>
  <c r="K87" i="4" s="1"/>
  <c r="M76" i="1"/>
  <c r="I78" i="1"/>
  <c r="K78" i="1" s="1"/>
  <c r="M51" i="18" l="1"/>
  <c r="M51" i="17"/>
  <c r="K88" i="8"/>
  <c r="M50" i="11"/>
  <c r="M49" i="11"/>
  <c r="K49" i="11"/>
  <c r="M49" i="10"/>
  <c r="M50" i="10"/>
  <c r="H50" i="10"/>
  <c r="K49" i="10"/>
  <c r="H49" i="9"/>
  <c r="M49" i="9"/>
  <c r="M48" i="9"/>
  <c r="K48" i="9"/>
  <c r="M125" i="7"/>
  <c r="M124" i="7"/>
  <c r="H126" i="7"/>
  <c r="H124" i="7"/>
  <c r="M81" i="6"/>
  <c r="K79" i="6"/>
  <c r="M50" i="18"/>
  <c r="H51" i="18"/>
  <c r="M50" i="17"/>
  <c r="L50" i="17"/>
  <c r="H51" i="16"/>
  <c r="M51" i="16"/>
  <c r="M50" i="16" l="1"/>
  <c r="L50" i="16"/>
  <c r="M118" i="5"/>
  <c r="M105" i="5"/>
  <c r="L118" i="5"/>
  <c r="K118" i="5"/>
  <c r="H118" i="5"/>
  <c r="H119" i="5" s="1"/>
  <c r="M85" i="4"/>
  <c r="I83" i="4"/>
  <c r="K83" i="4" s="1"/>
  <c r="M72" i="1"/>
  <c r="I74" i="1"/>
  <c r="K74" i="1" s="1"/>
  <c r="K84" i="8" l="1"/>
  <c r="K45" i="11"/>
  <c r="K45" i="10"/>
  <c r="K44" i="9"/>
  <c r="H120" i="7"/>
  <c r="H118" i="7"/>
  <c r="K75" i="6"/>
  <c r="H47" i="18"/>
  <c r="L46" i="17"/>
  <c r="L46" i="16"/>
  <c r="H112" i="5"/>
  <c r="H113" i="5" s="1"/>
  <c r="L112" i="5"/>
  <c r="K112" i="5"/>
  <c r="H111" i="5"/>
  <c r="I79" i="4"/>
  <c r="K79" i="4" s="1"/>
  <c r="I70" i="1"/>
  <c r="K70" i="1" s="1"/>
  <c r="K80" i="8"/>
  <c r="M42" i="11"/>
  <c r="M41" i="11"/>
  <c r="H42" i="11"/>
  <c r="K41" i="11"/>
  <c r="H41" i="11"/>
  <c r="H42" i="10"/>
  <c r="M42" i="10"/>
  <c r="M41" i="10"/>
  <c r="K41" i="10"/>
  <c r="M41" i="9"/>
  <c r="M40" i="9"/>
  <c r="H41" i="9"/>
  <c r="K40" i="9"/>
  <c r="H40" i="9"/>
  <c r="M113" i="7"/>
  <c r="M114" i="7" s="1"/>
  <c r="H112" i="7"/>
  <c r="M112" i="7"/>
  <c r="H114" i="7"/>
  <c r="L113" i="7"/>
  <c r="M73" i="6"/>
  <c r="K71" i="6"/>
  <c r="M42" i="18"/>
  <c r="M43" i="18"/>
  <c r="H43" i="18"/>
  <c r="M43" i="17"/>
  <c r="M42" i="17"/>
  <c r="L42" i="17"/>
  <c r="M42" i="16"/>
  <c r="M27" i="16"/>
  <c r="M43" i="16"/>
  <c r="L42" i="16"/>
  <c r="M106" i="5"/>
  <c r="L106" i="5"/>
  <c r="K106" i="5"/>
  <c r="H106" i="5"/>
  <c r="H107" i="5" s="1"/>
  <c r="H105" i="5"/>
  <c r="M77" i="4"/>
  <c r="I75" i="4"/>
  <c r="K75" i="4" s="1"/>
  <c r="M64" i="1"/>
  <c r="I66" i="1"/>
  <c r="K66" i="1" s="1"/>
  <c r="H64" i="1"/>
  <c r="K76" i="8"/>
  <c r="K67" i="6"/>
  <c r="H39" i="18"/>
  <c r="M39" i="18"/>
  <c r="M38" i="18"/>
  <c r="L38" i="18"/>
  <c r="M39" i="17"/>
  <c r="M38" i="17"/>
  <c r="L38" i="17"/>
  <c r="M38" i="16"/>
  <c r="L38" i="16"/>
  <c r="M99" i="5"/>
  <c r="M100" i="5"/>
  <c r="L100" i="5"/>
  <c r="K100" i="5"/>
  <c r="H100" i="5"/>
  <c r="H101" i="5" s="1"/>
  <c r="H99" i="5"/>
  <c r="H38" i="11"/>
  <c r="H37" i="11"/>
  <c r="M38" i="11"/>
  <c r="M37" i="11"/>
  <c r="K37" i="11"/>
  <c r="M38" i="10"/>
  <c r="M37" i="10"/>
  <c r="M34" i="17"/>
  <c r="M35" i="17"/>
  <c r="K37" i="10"/>
  <c r="H37" i="9"/>
  <c r="M37" i="9"/>
  <c r="H36" i="9"/>
  <c r="M36" i="9"/>
  <c r="K36" i="9"/>
  <c r="M107" i="7"/>
  <c r="M108" i="7" s="1"/>
  <c r="M106" i="7"/>
  <c r="H108" i="7"/>
  <c r="L107" i="7"/>
  <c r="M73" i="4"/>
  <c r="I71" i="4"/>
  <c r="K71" i="4" s="1"/>
  <c r="M60" i="1"/>
  <c r="I62" i="1"/>
  <c r="K62" i="1" s="1"/>
  <c r="H60" i="1"/>
  <c r="L38" i="21"/>
  <c r="L38" i="20"/>
  <c r="L94" i="5"/>
  <c r="H93" i="5"/>
  <c r="H56" i="1"/>
  <c r="I58" i="1"/>
  <c r="K58" i="1" s="1"/>
  <c r="H39" i="21"/>
  <c r="M39" i="21"/>
  <c r="H39" i="20"/>
  <c r="M39" i="20"/>
  <c r="M38" i="20"/>
  <c r="H38" i="20"/>
  <c r="K38" i="20"/>
  <c r="M38" i="19"/>
  <c r="H39" i="19"/>
  <c r="M39" i="19"/>
  <c r="L38" i="19"/>
  <c r="K72" i="8"/>
  <c r="M100" i="7"/>
  <c r="H102" i="7"/>
  <c r="L101" i="7"/>
  <c r="M34" i="18"/>
  <c r="M35" i="18"/>
  <c r="L34" i="18"/>
  <c r="L34" i="17"/>
  <c r="M35" i="16"/>
  <c r="H35" i="16"/>
  <c r="L34" i="16"/>
  <c r="M94" i="5"/>
  <c r="K94" i="5"/>
  <c r="H94" i="5"/>
  <c r="H95" i="5"/>
  <c r="M69" i="4"/>
  <c r="I67" i="4"/>
  <c r="K67" i="4" s="1"/>
  <c r="L34" i="21"/>
  <c r="L34" i="19"/>
  <c r="L30" i="18"/>
  <c r="L30" i="16"/>
  <c r="H35" i="20"/>
  <c r="M35" i="21"/>
  <c r="M35" i="20"/>
  <c r="H34" i="20"/>
  <c r="M34" i="20"/>
  <c r="L34" i="20"/>
  <c r="K34" i="20"/>
  <c r="M34" i="19"/>
  <c r="M35" i="19"/>
  <c r="H70" i="8"/>
  <c r="M70" i="8"/>
  <c r="K68" i="8"/>
  <c r="M94" i="7"/>
  <c r="H96" i="7"/>
  <c r="L95" i="7"/>
  <c r="M65" i="6"/>
  <c r="K63" i="6"/>
  <c r="M31" i="18"/>
  <c r="M31" i="17"/>
  <c r="L30" i="17"/>
  <c r="H31" i="16"/>
  <c r="M31" i="16"/>
  <c r="M88" i="5"/>
  <c r="L88" i="5"/>
  <c r="K88" i="5"/>
  <c r="H88" i="5"/>
  <c r="H89" i="5" s="1"/>
  <c r="H87" i="5"/>
  <c r="M65" i="4"/>
  <c r="I63" i="4"/>
  <c r="K63" i="4" s="1"/>
  <c r="H52" i="1"/>
  <c r="I54" i="1"/>
  <c r="K54" i="1" s="1"/>
  <c r="L89" i="7"/>
  <c r="L26" i="16"/>
  <c r="L82" i="5"/>
  <c r="L22" i="16"/>
  <c r="H42" i="1"/>
  <c r="H48" i="1"/>
  <c r="H26" i="20"/>
  <c r="H22" i="20"/>
  <c r="H79" i="5"/>
  <c r="H81" i="5"/>
  <c r="M31" i="21"/>
  <c r="M30" i="21"/>
  <c r="L30" i="21"/>
  <c r="H30" i="21"/>
  <c r="H31" i="20"/>
  <c r="H30" i="20"/>
  <c r="M30" i="20"/>
  <c r="M31" i="20"/>
  <c r="L30" i="20"/>
  <c r="K30" i="20"/>
  <c r="H31" i="19"/>
  <c r="M31" i="19"/>
  <c r="L30" i="19"/>
  <c r="M66" i="8"/>
  <c r="K64" i="8"/>
  <c r="M88" i="7"/>
  <c r="H90" i="7"/>
  <c r="M61" i="6"/>
  <c r="K59" i="6"/>
  <c r="M27" i="18"/>
  <c r="M26" i="18"/>
  <c r="H27" i="17"/>
  <c r="M27" i="17"/>
  <c r="L26" i="17"/>
  <c r="H27" i="16"/>
  <c r="K82" i="5"/>
  <c r="H82" i="5"/>
  <c r="H83" i="5" s="1"/>
  <c r="M61" i="4"/>
  <c r="H61" i="4"/>
  <c r="I59" i="4"/>
  <c r="K59" i="4" s="1"/>
  <c r="I50" i="1"/>
  <c r="K50" i="1" s="1"/>
  <c r="H26" i="21"/>
  <c r="M26" i="21"/>
  <c r="M27" i="21"/>
  <c r="L26" i="21"/>
  <c r="H27" i="20"/>
  <c r="L26" i="20"/>
  <c r="K26" i="20"/>
  <c r="M26" i="19"/>
  <c r="H27" i="19"/>
  <c r="L26" i="19"/>
  <c r="M62" i="8"/>
  <c r="K60" i="8"/>
  <c r="M82" i="7"/>
  <c r="M83" i="7"/>
  <c r="L83" i="7"/>
  <c r="H83" i="7"/>
  <c r="H84" i="7" s="1"/>
  <c r="M57" i="6"/>
  <c r="M45" i="6"/>
  <c r="M55" i="6"/>
  <c r="K55" i="6"/>
  <c r="M22" i="17"/>
  <c r="L22" i="17"/>
  <c r="H22" i="16"/>
  <c r="H23" i="16"/>
  <c r="L76" i="5"/>
  <c r="K76" i="5"/>
  <c r="H76" i="5"/>
  <c r="H77" i="5" s="1"/>
  <c r="H75" i="5"/>
  <c r="M23" i="21"/>
  <c r="M22" i="21"/>
  <c r="L22" i="21"/>
  <c r="H22" i="21"/>
  <c r="M23" i="20"/>
  <c r="H23" i="20"/>
  <c r="L22" i="20"/>
  <c r="K22" i="20"/>
  <c r="H23" i="19"/>
  <c r="H22" i="19"/>
  <c r="M23" i="19"/>
  <c r="M22" i="19"/>
  <c r="L22" i="19"/>
  <c r="H58" i="8"/>
  <c r="K56" i="8"/>
  <c r="H56" i="8"/>
  <c r="M51" i="6"/>
  <c r="K51" i="6"/>
  <c r="H51" i="6"/>
  <c r="M70" i="5"/>
  <c r="M71" i="5" s="1"/>
  <c r="H73" i="5"/>
  <c r="L70" i="5"/>
  <c r="K70" i="5"/>
  <c r="H70" i="5"/>
  <c r="H71" i="5" s="1"/>
  <c r="H69" i="5"/>
  <c r="L18" i="17"/>
  <c r="L14" i="17"/>
  <c r="L10" i="17"/>
  <c r="H54" i="8"/>
  <c r="H70" i="7"/>
  <c r="H76" i="7"/>
  <c r="H63" i="5"/>
  <c r="H46" i="1"/>
  <c r="H44" i="1"/>
  <c r="H49" i="6"/>
  <c r="H19" i="21"/>
  <c r="H18" i="21"/>
  <c r="M19" i="21"/>
  <c r="M18" i="21"/>
  <c r="L18" i="21"/>
  <c r="H19" i="20"/>
  <c r="H18" i="20"/>
  <c r="M19" i="20"/>
  <c r="M18" i="20"/>
  <c r="L18" i="20"/>
  <c r="K18" i="20"/>
  <c r="H18" i="19"/>
  <c r="M19" i="19"/>
  <c r="M18" i="19"/>
  <c r="L18" i="19"/>
  <c r="K52" i="8"/>
  <c r="H52" i="8"/>
  <c r="H77" i="7"/>
  <c r="H78" i="7" s="1"/>
  <c r="M77" i="7"/>
  <c r="M78" i="7" s="1"/>
  <c r="L77" i="7"/>
  <c r="M74" i="7"/>
  <c r="H74" i="7"/>
  <c r="M49" i="6"/>
  <c r="K47" i="6"/>
  <c r="H47" i="6"/>
  <c r="M19" i="18"/>
  <c r="M18" i="18"/>
  <c r="M19" i="17"/>
  <c r="M18" i="17"/>
  <c r="H19" i="16"/>
  <c r="M19" i="16"/>
  <c r="L18" i="16"/>
  <c r="H64" i="5"/>
  <c r="H65" i="5" s="1"/>
  <c r="M64" i="5"/>
  <c r="M65" i="5" s="1"/>
  <c r="H67" i="5"/>
  <c r="L64" i="5"/>
  <c r="K64" i="5"/>
  <c r="M57" i="4"/>
  <c r="H57" i="4"/>
  <c r="I55" i="4"/>
  <c r="K55" i="4" s="1"/>
  <c r="I46" i="1"/>
  <c r="K46" i="1" s="1"/>
  <c r="L10" i="18"/>
  <c r="L14" i="21"/>
  <c r="L10" i="21"/>
  <c r="L14" i="19"/>
  <c r="L10" i="19"/>
  <c r="L71" i="7"/>
  <c r="L65" i="7"/>
  <c r="L14" i="16"/>
  <c r="L10" i="16"/>
  <c r="L52" i="5"/>
  <c r="L58" i="5"/>
  <c r="L14" i="20"/>
  <c r="L10" i="20"/>
  <c r="H15" i="21"/>
  <c r="H14" i="21"/>
  <c r="M14" i="21"/>
  <c r="M15" i="21"/>
  <c r="M15" i="20"/>
  <c r="M14" i="20"/>
  <c r="H15" i="20"/>
  <c r="K14" i="20"/>
  <c r="H14" i="20"/>
  <c r="M14" i="19"/>
  <c r="M15" i="19"/>
  <c r="H15" i="19"/>
  <c r="H14" i="19"/>
  <c r="M46" i="8"/>
  <c r="M50" i="8"/>
  <c r="H50" i="8"/>
  <c r="K48" i="8"/>
  <c r="H48" i="8"/>
  <c r="M71" i="7"/>
  <c r="M72" i="7" s="1"/>
  <c r="H71" i="7"/>
  <c r="H72" i="7" s="1"/>
  <c r="M68" i="7"/>
  <c r="H68" i="7"/>
  <c r="H45" i="6"/>
  <c r="M43" i="6"/>
  <c r="K43" i="6"/>
  <c r="H43" i="6"/>
  <c r="M15" i="18"/>
  <c r="M14" i="18"/>
  <c r="H15" i="18"/>
  <c r="H14" i="18"/>
  <c r="H15" i="17"/>
  <c r="H14" i="17"/>
  <c r="H15" i="16"/>
  <c r="H14" i="16"/>
  <c r="M57" i="5"/>
  <c r="M58" i="5"/>
  <c r="M59" i="5" s="1"/>
  <c r="H61" i="5"/>
  <c r="K58" i="5"/>
  <c r="H58" i="5"/>
  <c r="H59" i="5" s="1"/>
  <c r="H57" i="5"/>
  <c r="M53" i="4"/>
  <c r="H53" i="4"/>
  <c r="M51" i="4"/>
  <c r="I51" i="4"/>
  <c r="K51" i="4" s="1"/>
  <c r="H51" i="4"/>
  <c r="M40" i="1"/>
  <c r="I42" i="1"/>
  <c r="K42" i="1" s="1"/>
  <c r="H40" i="1"/>
  <c r="L2" i="11"/>
  <c r="L9" i="11"/>
  <c r="L2" i="18"/>
  <c r="L6" i="18"/>
  <c r="H10" i="19"/>
  <c r="H6" i="19"/>
  <c r="H2" i="19"/>
  <c r="L6" i="21"/>
  <c r="L2" i="21"/>
  <c r="L6" i="19"/>
  <c r="L2" i="19"/>
  <c r="L33" i="11"/>
  <c r="L29" i="11"/>
  <c r="L25" i="11"/>
  <c r="L21" i="11"/>
  <c r="L17" i="11"/>
  <c r="L13" i="11"/>
  <c r="L32" i="9"/>
  <c r="L28" i="9"/>
  <c r="L24" i="9"/>
  <c r="L20" i="9"/>
  <c r="L17" i="9"/>
  <c r="L13" i="9"/>
  <c r="L9" i="9"/>
  <c r="L2" i="9"/>
  <c r="L59" i="7"/>
  <c r="L53" i="7"/>
  <c r="L47" i="7"/>
  <c r="L41" i="7"/>
  <c r="L35" i="7"/>
  <c r="L26" i="7"/>
  <c r="L20" i="7"/>
  <c r="L11" i="7"/>
  <c r="L4" i="7"/>
  <c r="L6" i="16"/>
  <c r="L2" i="16"/>
  <c r="L46" i="5"/>
  <c r="L40" i="5"/>
  <c r="L34" i="5"/>
  <c r="L28" i="5"/>
  <c r="L21" i="5"/>
  <c r="L17" i="5"/>
  <c r="L10" i="5"/>
  <c r="L4" i="5"/>
  <c r="L32" i="14"/>
  <c r="L28" i="14"/>
  <c r="L24" i="14"/>
  <c r="L20" i="14"/>
  <c r="L16" i="14"/>
  <c r="L13" i="14"/>
  <c r="L9" i="14"/>
  <c r="L2" i="14"/>
  <c r="L24" i="12"/>
  <c r="L20" i="12"/>
  <c r="L16" i="12"/>
  <c r="L13" i="12"/>
  <c r="L9" i="12"/>
  <c r="L2" i="12"/>
  <c r="H64" i="7"/>
  <c r="H58" i="7"/>
  <c r="H59" i="7"/>
  <c r="H60" i="7" s="1"/>
  <c r="H41" i="6"/>
  <c r="H39" i="6"/>
  <c r="M41" i="6"/>
  <c r="M39" i="6"/>
  <c r="K39" i="6"/>
  <c r="M52" i="5"/>
  <c r="M53" i="5" s="1"/>
  <c r="M51" i="5"/>
  <c r="M55" i="5"/>
  <c r="H55" i="5"/>
  <c r="K52" i="5"/>
  <c r="H52" i="5"/>
  <c r="H53" i="5"/>
  <c r="H51" i="5"/>
  <c r="H65" i="7"/>
  <c r="H66" i="7" s="1"/>
  <c r="M65" i="7"/>
  <c r="M66" i="7" s="1"/>
  <c r="M11" i="21"/>
  <c r="M10" i="21"/>
  <c r="H11" i="21"/>
  <c r="H10" i="21"/>
  <c r="M11" i="20"/>
  <c r="M10" i="20"/>
  <c r="H11" i="20"/>
  <c r="K10" i="20"/>
  <c r="H10" i="20"/>
  <c r="M11" i="19"/>
  <c r="H11" i="19"/>
  <c r="H46" i="8"/>
  <c r="M44" i="8"/>
  <c r="K44" i="8"/>
  <c r="H44" i="8"/>
  <c r="M62" i="7"/>
  <c r="H62" i="7"/>
  <c r="H7" i="19"/>
  <c r="H3" i="19"/>
  <c r="H34" i="8"/>
  <c r="H17" i="9"/>
  <c r="H20" i="9" s="1"/>
  <c r="M24" i="9" s="1"/>
  <c r="H56" i="7"/>
  <c r="H53" i="7"/>
  <c r="H54" i="7" s="1"/>
  <c r="H52" i="7"/>
  <c r="H50" i="7"/>
  <c r="H47" i="7"/>
  <c r="H48" i="7" s="1"/>
  <c r="H46" i="7"/>
  <c r="H44" i="7"/>
  <c r="H41" i="7"/>
  <c r="H42" i="7" s="1"/>
  <c r="H40" i="7"/>
  <c r="H38" i="7"/>
  <c r="H35" i="7"/>
  <c r="H36" i="7" s="1"/>
  <c r="H34" i="7"/>
  <c r="H32" i="7"/>
  <c r="H30" i="7"/>
  <c r="H26" i="7"/>
  <c r="H27" i="7" s="1"/>
  <c r="H25" i="7"/>
  <c r="H23" i="7"/>
  <c r="H20" i="7"/>
  <c r="H21" i="7" s="1"/>
  <c r="H19" i="7"/>
  <c r="H17" i="7"/>
  <c r="H15" i="7"/>
  <c r="H11" i="7"/>
  <c r="H12" i="7" s="1"/>
  <c r="H4" i="7"/>
  <c r="H5" i="7" s="1"/>
  <c r="H3" i="7"/>
  <c r="H2" i="7"/>
  <c r="H11" i="6"/>
  <c r="M17" i="12"/>
  <c r="M16" i="12"/>
  <c r="H17" i="12"/>
  <c r="H16" i="12"/>
  <c r="H13" i="12"/>
  <c r="H10" i="12"/>
  <c r="H9" i="12"/>
  <c r="H6" i="12"/>
  <c r="H3" i="12"/>
  <c r="H2" i="12"/>
  <c r="M11" i="18"/>
  <c r="M10" i="18"/>
  <c r="H11" i="18"/>
  <c r="H10" i="18"/>
  <c r="H11" i="17"/>
  <c r="H10" i="17"/>
  <c r="M11" i="17"/>
  <c r="M10" i="17"/>
  <c r="H11" i="16"/>
  <c r="M11" i="16"/>
  <c r="H10" i="16"/>
  <c r="H49" i="4"/>
  <c r="M49" i="4"/>
  <c r="M47" i="4"/>
  <c r="I47" i="4"/>
  <c r="K47" i="4" s="1"/>
  <c r="H47" i="4"/>
  <c r="M36" i="1"/>
  <c r="I38" i="1"/>
  <c r="K38" i="1" s="1"/>
  <c r="H38" i="1"/>
  <c r="H36" i="1"/>
  <c r="H14" i="1"/>
  <c r="I34" i="1"/>
  <c r="K34" i="1" s="1"/>
  <c r="I30" i="1"/>
  <c r="K30" i="1" s="1"/>
  <c r="I26" i="1"/>
  <c r="K26" i="1" s="1"/>
  <c r="I22" i="1"/>
  <c r="K22" i="1" s="1"/>
  <c r="I12" i="1"/>
  <c r="K12" i="1" s="1"/>
  <c r="K24" i="12"/>
  <c r="K20" i="12"/>
  <c r="K16" i="12"/>
  <c r="K13" i="12"/>
  <c r="K9" i="12"/>
  <c r="K29" i="13"/>
  <c r="K25" i="13"/>
  <c r="K21" i="13"/>
  <c r="K17" i="13"/>
  <c r="K13" i="13"/>
  <c r="K9" i="13"/>
  <c r="K32" i="14"/>
  <c r="K28" i="14"/>
  <c r="K24" i="14"/>
  <c r="K20" i="14"/>
  <c r="K16" i="14"/>
  <c r="K13" i="14"/>
  <c r="K9" i="14"/>
  <c r="I43" i="4"/>
  <c r="K43" i="4" s="1"/>
  <c r="I39" i="4"/>
  <c r="K39" i="4" s="1"/>
  <c r="I35" i="4"/>
  <c r="K35" i="4" s="1"/>
  <c r="I31" i="4"/>
  <c r="K31" i="4"/>
  <c r="I27" i="4"/>
  <c r="K27" i="4" s="1"/>
  <c r="I23" i="4"/>
  <c r="K23" i="4" s="1"/>
  <c r="I19" i="4"/>
  <c r="K19" i="4" s="1"/>
  <c r="I15" i="4"/>
  <c r="K15" i="4" s="1"/>
  <c r="I11" i="4"/>
  <c r="K11" i="4" s="1"/>
  <c r="K46" i="5"/>
  <c r="K40" i="5"/>
  <c r="K34" i="5"/>
  <c r="K28" i="5"/>
  <c r="K21" i="5"/>
  <c r="K17" i="5"/>
  <c r="K10" i="5"/>
  <c r="K35" i="6"/>
  <c r="K31" i="6"/>
  <c r="K27" i="6"/>
  <c r="K23" i="6"/>
  <c r="K19" i="6"/>
  <c r="K11" i="6"/>
  <c r="I2" i="7"/>
  <c r="J2" i="7"/>
  <c r="K4" i="7"/>
  <c r="K2" i="7"/>
  <c r="K32" i="9"/>
  <c r="K28" i="9"/>
  <c r="K24" i="9"/>
  <c r="K20" i="9"/>
  <c r="K17" i="9"/>
  <c r="K13" i="9"/>
  <c r="K9" i="9"/>
  <c r="K33" i="10"/>
  <c r="K29" i="10"/>
  <c r="K25" i="10"/>
  <c r="K21" i="10"/>
  <c r="K17" i="10"/>
  <c r="K13" i="10"/>
  <c r="K9" i="10"/>
  <c r="K33" i="11"/>
  <c r="K29" i="11"/>
  <c r="K25" i="11"/>
  <c r="K21" i="11"/>
  <c r="K17" i="11"/>
  <c r="K13" i="11"/>
  <c r="K9" i="11"/>
  <c r="K40" i="8"/>
  <c r="K36" i="8"/>
  <c r="K32" i="8"/>
  <c r="K28" i="8"/>
  <c r="K24" i="8"/>
  <c r="K20" i="8"/>
  <c r="K16" i="8"/>
  <c r="K12" i="8"/>
  <c r="K6" i="20"/>
  <c r="H6" i="13"/>
  <c r="H34" i="11"/>
  <c r="H33" i="11"/>
  <c r="H3" i="16"/>
  <c r="H2" i="16"/>
  <c r="H2" i="17"/>
  <c r="H3" i="18"/>
  <c r="H2" i="18"/>
  <c r="H37" i="4"/>
  <c r="H26" i="13"/>
  <c r="H33" i="14"/>
  <c r="H32" i="14"/>
  <c r="H29" i="14"/>
  <c r="H28" i="14"/>
  <c r="H7" i="21"/>
  <c r="H3" i="21" s="1"/>
  <c r="H6" i="21"/>
  <c r="H2" i="21" s="1"/>
  <c r="M7" i="21"/>
  <c r="M6" i="21"/>
  <c r="H6" i="20"/>
  <c r="M7" i="20"/>
  <c r="M6" i="20"/>
  <c r="H7" i="20"/>
  <c r="M7" i="19"/>
  <c r="M42" i="8"/>
  <c r="M40" i="8"/>
  <c r="H42" i="8"/>
  <c r="H40" i="8"/>
  <c r="M56" i="7"/>
  <c r="H37" i="6"/>
  <c r="H35" i="6"/>
  <c r="M37" i="6"/>
  <c r="M35" i="6"/>
  <c r="H7" i="18"/>
  <c r="H6" i="18"/>
  <c r="H6" i="17"/>
  <c r="H7" i="16"/>
  <c r="H6" i="16"/>
  <c r="M46" i="5"/>
  <c r="M47" i="5" s="1"/>
  <c r="M45" i="5"/>
  <c r="M49" i="5"/>
  <c r="H49" i="5"/>
  <c r="H46" i="5"/>
  <c r="H47" i="5" s="1"/>
  <c r="H45" i="5"/>
  <c r="H43" i="5"/>
  <c r="H40" i="5"/>
  <c r="H41" i="5" s="1"/>
  <c r="H39" i="5"/>
  <c r="H45" i="4"/>
  <c r="M45" i="4"/>
  <c r="M43" i="4"/>
  <c r="H43" i="4"/>
  <c r="M32" i="1"/>
  <c r="H30" i="1"/>
  <c r="H28" i="1"/>
  <c r="H34" i="1"/>
  <c r="H32" i="1"/>
  <c r="H2" i="20"/>
  <c r="H21" i="13"/>
  <c r="H3" i="20"/>
  <c r="K2" i="20"/>
  <c r="H3" i="17"/>
  <c r="H38" i="8"/>
  <c r="H36" i="8"/>
  <c r="H34" i="10"/>
  <c r="H33" i="10"/>
  <c r="M34" i="10"/>
  <c r="M33" i="10"/>
  <c r="M33" i="9"/>
  <c r="M32" i="9"/>
  <c r="H33" i="6"/>
  <c r="M33" i="6"/>
  <c r="H31" i="6"/>
  <c r="H41" i="4"/>
  <c r="H39" i="4"/>
  <c r="H30" i="13"/>
  <c r="H29" i="13"/>
  <c r="M29" i="13"/>
  <c r="H4" i="15"/>
  <c r="H32" i="8"/>
  <c r="H30" i="11"/>
  <c r="H29" i="11"/>
  <c r="M30" i="11"/>
  <c r="M29" i="11"/>
  <c r="H29" i="10"/>
  <c r="H30" i="10"/>
  <c r="M29" i="9"/>
  <c r="M28" i="9"/>
  <c r="M22" i="1"/>
  <c r="M20" i="1"/>
  <c r="M25" i="13"/>
  <c r="H29" i="6"/>
  <c r="H27" i="6"/>
  <c r="H34" i="5"/>
  <c r="H35" i="5" s="1"/>
  <c r="H33" i="5"/>
  <c r="H35" i="4"/>
  <c r="H25" i="13"/>
  <c r="H26" i="1"/>
  <c r="H24" i="1"/>
  <c r="M21" i="14"/>
  <c r="H30" i="8"/>
  <c r="H28" i="8"/>
  <c r="M30" i="8"/>
  <c r="M28" i="8"/>
  <c r="H26" i="11"/>
  <c r="H25" i="11"/>
  <c r="M26" i="11"/>
  <c r="M25" i="11"/>
  <c r="H26" i="10"/>
  <c r="H25" i="10"/>
  <c r="M26" i="10"/>
  <c r="M25" i="10"/>
  <c r="M25" i="9"/>
  <c r="M41" i="7"/>
  <c r="M42" i="7" s="1"/>
  <c r="M40" i="7"/>
  <c r="M38" i="7"/>
  <c r="H25" i="6"/>
  <c r="M25" i="6"/>
  <c r="M23" i="6"/>
  <c r="H23" i="6"/>
  <c r="H37" i="5"/>
  <c r="M33" i="4"/>
  <c r="M30" i="4"/>
  <c r="M31" i="4" s="1"/>
  <c r="H33" i="4"/>
  <c r="H30" i="4"/>
  <c r="H31" i="4" s="1"/>
  <c r="H24" i="14"/>
  <c r="H25" i="14"/>
  <c r="H26" i="8"/>
  <c r="M26" i="8"/>
  <c r="M24" i="8"/>
  <c r="H22" i="11"/>
  <c r="H21" i="11"/>
  <c r="M22" i="11"/>
  <c r="M21" i="11"/>
  <c r="H22" i="10"/>
  <c r="H21" i="10"/>
  <c r="M22" i="10"/>
  <c r="M21" i="10"/>
  <c r="M35" i="7"/>
  <c r="M36" i="7" s="1"/>
  <c r="M34" i="7"/>
  <c r="M32" i="7"/>
  <c r="H21" i="6"/>
  <c r="M21" i="6"/>
  <c r="H28" i="5"/>
  <c r="H29" i="5" s="1"/>
  <c r="H27" i="5"/>
  <c r="M31" i="5"/>
  <c r="M28" i="5"/>
  <c r="M29" i="5" s="1"/>
  <c r="M27" i="5"/>
  <c r="H29" i="4"/>
  <c r="H26" i="4"/>
  <c r="H27" i="4" s="1"/>
  <c r="M29" i="4"/>
  <c r="M26" i="4"/>
  <c r="M27" i="4" s="1"/>
  <c r="H21" i="14"/>
  <c r="H20" i="14"/>
  <c r="H22" i="13"/>
  <c r="M22" i="13"/>
  <c r="M21" i="13"/>
  <c r="H20" i="1"/>
  <c r="H24" i="8"/>
  <c r="H19" i="6"/>
  <c r="H31" i="5"/>
  <c r="H22" i="1"/>
  <c r="H22" i="8"/>
  <c r="H16" i="8"/>
  <c r="H20" i="8"/>
  <c r="H18" i="11"/>
  <c r="H17" i="11"/>
  <c r="H18" i="10"/>
  <c r="H17" i="10"/>
  <c r="H17" i="6"/>
  <c r="H24" i="5"/>
  <c r="H25" i="4"/>
  <c r="H22" i="4"/>
  <c r="H23" i="4" s="1"/>
  <c r="H17" i="14"/>
  <c r="H16" i="14"/>
  <c r="H18" i="13"/>
  <c r="H17" i="13"/>
  <c r="H18" i="1"/>
  <c r="H14" i="14"/>
  <c r="H13" i="14"/>
  <c r="H14" i="13"/>
  <c r="H13" i="13"/>
  <c r="H16" i="1"/>
  <c r="H21" i="4"/>
  <c r="H18" i="4"/>
  <c r="H19" i="4" s="1"/>
  <c r="H14" i="11"/>
  <c r="H13" i="11"/>
  <c r="H10" i="11"/>
  <c r="H9" i="11"/>
  <c r="H18" i="8"/>
  <c r="H14" i="10"/>
  <c r="H13" i="10"/>
  <c r="H14" i="9"/>
  <c r="H21" i="9" s="1"/>
  <c r="H13" i="9"/>
  <c r="H15" i="6"/>
  <c r="H21" i="5"/>
  <c r="H22" i="5" s="1"/>
  <c r="H20" i="5"/>
  <c r="H17" i="4"/>
  <c r="H14" i="4"/>
  <c r="H15" i="4" s="1"/>
  <c r="H10" i="10"/>
  <c r="H9" i="10"/>
  <c r="H10" i="9"/>
  <c r="H9" i="9"/>
  <c r="H10" i="14"/>
  <c r="H9" i="14"/>
  <c r="H10" i="13"/>
  <c r="H9" i="13"/>
  <c r="H14" i="8"/>
  <c r="H12" i="8"/>
  <c r="H13" i="6"/>
  <c r="H7" i="6" s="1"/>
  <c r="H17" i="5"/>
  <c r="H18" i="5" s="1"/>
  <c r="H16" i="5"/>
  <c r="H13" i="4"/>
  <c r="H11" i="4"/>
  <c r="H12" i="1"/>
  <c r="H10" i="8"/>
  <c r="H12" i="5"/>
  <c r="H9" i="4"/>
  <c r="H10" i="1"/>
  <c r="H9" i="1"/>
  <c r="K2" i="11"/>
  <c r="K2" i="10"/>
  <c r="K2" i="9"/>
  <c r="K2" i="14"/>
  <c r="K2" i="13"/>
  <c r="K2" i="12"/>
  <c r="H2" i="6"/>
  <c r="H2" i="8"/>
  <c r="K2" i="8"/>
  <c r="K2" i="6"/>
  <c r="K4" i="5"/>
  <c r="K2" i="5"/>
  <c r="H2" i="4"/>
  <c r="I2" i="1"/>
  <c r="K2" i="1" s="1"/>
  <c r="H2" i="1"/>
  <c r="H3" i="14"/>
  <c r="H2" i="14"/>
  <c r="H3" i="13"/>
  <c r="H2" i="13"/>
  <c r="H3" i="11"/>
  <c r="H2" i="11"/>
  <c r="H3" i="10"/>
  <c r="H2" i="10"/>
  <c r="H2" i="9"/>
  <c r="H3" i="9"/>
  <c r="H3" i="8"/>
  <c r="H2" i="5"/>
  <c r="H3" i="5"/>
  <c r="I2" i="4"/>
  <c r="K2" i="4" s="1"/>
  <c r="H3" i="4"/>
  <c r="H3" i="1"/>
  <c r="H4" i="5" l="1"/>
  <c r="H5" i="5" s="1"/>
  <c r="H3" i="6"/>
  <c r="H10" i="5"/>
  <c r="H11" i="5" s="1"/>
</calcChain>
</file>

<file path=xl/sharedStrings.xml><?xml version="1.0" encoding="utf-8"?>
<sst xmlns="http://schemas.openxmlformats.org/spreadsheetml/2006/main" count="10783" uniqueCount="225">
  <si>
    <t>meetpaal</t>
  </si>
  <si>
    <t>Locatie</t>
  </si>
  <si>
    <t>Datum</t>
  </si>
  <si>
    <t>Item</t>
  </si>
  <si>
    <t>SN</t>
  </si>
  <si>
    <t>RD X</t>
  </si>
  <si>
    <t>RD Y</t>
  </si>
  <si>
    <t>NAP Z</t>
  </si>
  <si>
    <t>Heading inmeting</t>
  </si>
  <si>
    <t>Heading geregistreerd</t>
  </si>
  <si>
    <t>Heading offset</t>
  </si>
  <si>
    <t>Druk offset</t>
  </si>
  <si>
    <t>Opmerkingen</t>
  </si>
  <si>
    <t>FL65</t>
  </si>
  <si>
    <t>Marker Wadden Zuiderstrand</t>
  </si>
  <si>
    <t>ADC</t>
  </si>
  <si>
    <t>Hoogte aanpassen en opnieuw inmeten ivm kuilvorming. Heading ADC kompas is bruikbaar.</t>
  </si>
  <si>
    <t>STB</t>
  </si>
  <si>
    <t xml:space="preserve">NAP hoogte onderste bout. Bovenste bout ingemeten. Offset tot onderste bout eraf getrokken. </t>
  </si>
  <si>
    <t>Meetkast</t>
  </si>
  <si>
    <t>Wateroppervlak</t>
  </si>
  <si>
    <t>Bordes</t>
  </si>
  <si>
    <t>Slechte satteliet ontvangst. XY niet in kunnen meten. Z misschien niet goed.</t>
  </si>
  <si>
    <t>Bodem</t>
  </si>
  <si>
    <t>Bodemhoogte naast ADCP, ook in het vervolg</t>
  </si>
  <si>
    <t>NAP hoogte onderste bout. Bovenste bout ingemeten. Offset tot onderste bout eraf getrokken. Slechte satteliet ontvangst. Z misschien niet goed.</t>
  </si>
  <si>
    <t>Correctie van 7 mm voor correct referentievlak</t>
  </si>
  <si>
    <t>Bordes = Bout bordes, ook in het vervolg</t>
  </si>
  <si>
    <t>-1.89. Gewijzigd door VV</t>
  </si>
  <si>
    <t>Vanaf juni 2019 wordt NAP Z alleen aangepast wanneer afwijkingen &gt;3cm gemeten zijn.</t>
  </si>
  <si>
    <t xml:space="preserve">GPS defect, inmeting niet mogelijk. </t>
  </si>
  <si>
    <t>-4,512 (in verband met onzekerheid locatie bij ADCP houden we waarde vorige keer aan)</t>
  </si>
  <si>
    <t>-4,4798 (in verband met onzekerheid locatie bij ADCP houden we waarde vorige keer aan)</t>
  </si>
  <si>
    <t>-4,5019 (in verband met onzekerheid locatie bij ADCP houden we waarde vorige keer aan)</t>
  </si>
  <si>
    <t>Meting niet betrouwbaar</t>
  </si>
  <si>
    <t>1.0541-2.967=-1.91 gemeten. Niet te rijmen met waterstandsverschillen, dus niet doorvoeren [VV]</t>
  </si>
  <si>
    <t>-4,589 (in verband met onzekerheid locatie bij ADCP houden we waarde vorige keer aan)</t>
  </si>
  <si>
    <t>1.1028-2.967=-1.86</t>
  </si>
  <si>
    <t>-4,5425 (in verband met onzekerheid locatie bij ADCP houden we waarde vorige keer aan)</t>
  </si>
  <si>
    <t>1.0631-2.967=-1.90 gemeten. Mei: niet doorgevoerd lettend op waterstandsverschillen. Juni: dit bleek terecht.</t>
  </si>
  <si>
    <t>ADCP hoogte niet aanpassen obv bodemhoogte</t>
  </si>
  <si>
    <t>Inmeting niet mogelijk</t>
  </si>
  <si>
    <t>Niet direct aanpassen bij een bodemverandering</t>
  </si>
  <si>
    <t>FL65A</t>
  </si>
  <si>
    <t>ADV</t>
  </si>
  <si>
    <t>NAP hoogte meetvolume ADV. Bovenkant behuizing ingemeten, offset tot meetvolume eraf getrokken. ADV kompas is bruikbaar</t>
  </si>
  <si>
    <t>ALT</t>
  </si>
  <si>
    <t>NAP hoogte tranducent. Bovenkant behuizing ingemeten, offset tot transducent eraf getrokken.</t>
  </si>
  <si>
    <t>Hoogte bordes is niet ingemeten. Opnieuw inmeten. Later nieuwe meting ingevuld.</t>
  </si>
  <si>
    <t>Slechte satteliet ontvangst. XYZ misschien niet goed.</t>
  </si>
  <si>
    <t>Bodemhoogte rond paal varieert sterk en wordt beinvloed door werkzaamheden (lopen)</t>
  </si>
  <si>
    <t>Bodem altijd gemeten bij ALT, ook in het vervolg.</t>
  </si>
  <si>
    <t>-0,71 (20 cm hoger gehangen ivm verzanding)</t>
  </si>
  <si>
    <t>-0,47 (20 cm hoger nieuwe referentie ivm schuine montage Altimeter)</t>
  </si>
  <si>
    <t>erosie</t>
  </si>
  <si>
    <t>-0.82. Vervangen door meting augustus.</t>
  </si>
  <si>
    <t>-0.55. Vervangen door meting augustus.</t>
  </si>
  <si>
    <t>FL65B</t>
  </si>
  <si>
    <t>AQD</t>
  </si>
  <si>
    <t>NAP hoogte transducenten AQD. Bovenkant behuizing ingemeten, offset tot transducenten eraf getrokken. AQD kompas is bruikbaar.</t>
  </si>
  <si>
    <t>Hoogte bordes is niet ingemeten. Opnieuw inmeten. Later de volgende meting hierheen gekopieerd.</t>
  </si>
  <si>
    <t>Bodem bij ALT, ook in het vervolg</t>
  </si>
  <si>
    <t>-0,77, nieuwe referentie ivm schuine montage Altimeter</t>
  </si>
  <si>
    <t>2,107 veel wind en instabiel door hoge golven</t>
  </si>
  <si>
    <t>Meting augustus lijkt obv deze meting niet goed, en is aangepast</t>
  </si>
  <si>
    <t>FL65C</t>
  </si>
  <si>
    <t>Slechte satteliet ontvangst. XYZ komen wel overeen met eerste inmeting.</t>
  </si>
  <si>
    <t>Uithouder was bij aankomst verdraaid. Teruggezet in originele positie en ingemeten.</t>
  </si>
  <si>
    <t>bodem</t>
  </si>
  <si>
    <t>Nieuwe locatie</t>
  </si>
  <si>
    <t>31cm lager waarschijnlijk door harde wind en of multipath volgende ronde goed nameten</t>
  </si>
  <si>
    <t>niet gemeten ivm hoge golven</t>
  </si>
  <si>
    <t>FL66</t>
  </si>
  <si>
    <t>Marker Wadden Noorderstrand</t>
  </si>
  <si>
    <t>Bordes = bout bordes, ook in het vervolg. Slechte satteliet ontvangst. XY niet in kunnen meten. Z misschien niet goed.</t>
  </si>
  <si>
    <t>Bodemhoogte naast de ADC, ook in het vervolg</t>
  </si>
  <si>
    <t xml:space="preserve">Bordes = bout bordes, ook in het vervolg. </t>
  </si>
  <si>
    <t>gemiddeld 6cm afwijking door harde wind en of multipath volgende ronde goed nameten</t>
  </si>
  <si>
    <t>-1,44 (gemiddeld 6cm afwijking door harde wind en of multipath, later aangepast obv sep meting)</t>
  </si>
  <si>
    <t>obv deze meting is hoogtemeting STB in augustus aangepast</t>
  </si>
  <si>
    <t>Niet ingemeten</t>
  </si>
  <si>
    <t>FL67</t>
  </si>
  <si>
    <t>Markermeer Natuurstrand</t>
  </si>
  <si>
    <t>Hoogte is niet goed ingemeten. Opnieuw inmeten. Later waarde van 26-3 ingevuld. Heading ADV kompas is bruikbaar.</t>
  </si>
  <si>
    <t>MPP</t>
  </si>
  <si>
    <t>Meting maart overgenomen.</t>
  </si>
  <si>
    <t>Bordes = bout bordes, ook in het vervolg. Slechte satteliet ontvangst. Z misschien niet goed.</t>
  </si>
  <si>
    <t>Slechte satteliet ontvangst. Geen meting mogelijk. Later waarde van 26-3 ingevuld.</t>
  </si>
  <si>
    <t>Slechte satteliet ontvangst. Geen meting mogelijk. Meting maart overgenomen.</t>
  </si>
  <si>
    <t>Bodem bij ADC, ook in het vervolg</t>
  </si>
  <si>
    <t>GPS defect, inmeting niet mogelijk</t>
  </si>
  <si>
    <t>2.4094. Zeer slechte RTK ontvangst ondanks lange stok van 5,9 m lang, vanwege slechte weersomstandigheden. Daarom eerdere waarden.</t>
  </si>
  <si>
    <t>-2,9732 (ivm variatie rond ADCP houden we de vorige meting aan)</t>
  </si>
  <si>
    <t>1.3851-2.967=-1.58. Aangepast naar -1.56, lettend op waterstandsverschillen en trend in NAP Z metingen [VV]</t>
  </si>
  <si>
    <t>-2,9341 (ivm variatie rond ADCP houden we de vorige meting aan)</t>
  </si>
  <si>
    <t>-2,9228 (ivm variatie rond ADCP houden we de vorige meting aan)</t>
  </si>
  <si>
    <t>1.3899-2.967=-1.58. Aangepast naar -1.56, lettend op waterstandsverschillen en trend in NAP Z metingen [VV]</t>
  </si>
  <si>
    <t>1.3905-2.967=-1.58. Vanwege twee opeenvolgende metingen -1.58 is deze waarde nu ingevuld [VV]</t>
  </si>
  <si>
    <t>NAPZ -2.0968. drukoffset 114 hPa verlaagd vanwege veel te hoge waterstanden vanaf deze meetronde [VV]</t>
  </si>
  <si>
    <t>1.3822-2.967=-1.58</t>
  </si>
  <si>
    <t>1.33546-2.967=-1.63. Niet doorgevoerd, lettend op waterstandsverschillen [VV]</t>
  </si>
  <si>
    <t>FL67A</t>
  </si>
  <si>
    <t>-0,94m (NAP hoogte meetvolume ADV. Bovenkant behuizing ingemeten, offset tot meetvolume eraf getrokken. ADV kompas is bruikbaar. GPS ontvangst slecht)</t>
  </si>
  <si>
    <t>Geen GPS ontvangst</t>
  </si>
  <si>
    <t>Inmeting oktober is geldig vanaf september, en daarom daarheen gekopieerd</t>
  </si>
  <si>
    <t>TUD altimeter bijgeplaatst (-0,3705 bovenkant behuizing). Inmeting oktober is geldig vanaf september, en daarom daarheen gekopieerd</t>
  </si>
  <si>
    <t>0.2098-0.945=-0.74, hoger gehangen, anders te dicht bij bodem</t>
  </si>
  <si>
    <t>=0,1493-0,945</t>
  </si>
  <si>
    <t>=-0,502-0,1 (na herplaatsen ivm loshalen voor montage TUD altimeter)</t>
  </si>
  <si>
    <t>gemeten:0.1938-0.945=-0.75. Pragmatisch aangepast in -0.85 om waterstanden goed te krijgen [VV]</t>
  </si>
  <si>
    <t xml:space="preserve">0.1558-0.945=-0.79. Offset aangepast op 17-3 i.v.m. 14 cm te hoge waterstanden. Functioneert vanaf 11-3. </t>
  </si>
  <si>
    <t>NAPZ=0.1364-0.945=-0.81. Drukoffset aangepast vanwege sprong in waterstanden na deze onderhoudsronde.</t>
  </si>
  <si>
    <t>-0.5124-0.1+0.0024=-0.61. Aangepast omdat dit keer op keer gemeten wordt [VV]</t>
  </si>
  <si>
    <t>FL67B</t>
  </si>
  <si>
    <t>-0,83 (NAP hoogte transducenten AQD. Bovenkant behuizing ingemeten, offset tot transducenten eraf getrokken. AQD kompas is bruikbaar)</t>
  </si>
  <si>
    <t>Geen GPS ontvangst. Inmeting niet mogelijk.</t>
  </si>
  <si>
    <t>=-0,3731-0,565 (na herplaatsen ivm loshalen voor montage TUD altimeter)</t>
  </si>
  <si>
    <t>=-0,9873-0,1 (na herplaatsen ivm loshalen voor montage TUD altimeter)</t>
  </si>
  <si>
    <t>-0.4129-0.565=-0.98. Sprong niet verklaarbaar, waterstandsverschillen ondersteunen deze ook niet. Niet aanpassen vooralsnog [VV]</t>
  </si>
  <si>
    <t>-0.3988-0.565=-0.96. Sprong niet verklaarbaar, waterstandsverschillen ondersteunen deze ook niet. Niet aanpassen vooralsnog [VV]</t>
  </si>
  <si>
    <t>FL67C</t>
  </si>
  <si>
    <t>-1,10 (Bovenkant buis ingemeten. Afstand tot ADV berekend op basis van oude inmeting. Opnieuw inmeten)</t>
  </si>
  <si>
    <t>-0,64 (Bovenkant buis ingemeten. Afstand tot ALT berekend op basis van oude inmeting. Opnieuw inmeten)</t>
  </si>
  <si>
    <t>-0.1087-1.64=-1.75. Verwerkt i.v.m. hoge waterstanden bij FL67C</t>
  </si>
  <si>
    <t>Meting niet mogelijk a.g.v. slechte ontvangst.</t>
  </si>
  <si>
    <t>FL68</t>
  </si>
  <si>
    <t>Markermeer Vooroeverdam</t>
  </si>
  <si>
    <t>Stappenbaak wordt in week 9 geïnstalleerd en ingemeten. Later waarde 26-3 overgenomen.</t>
  </si>
  <si>
    <t>Slechte satteliet ontvangst. Geen meting mogelijk. Later waarde 26-3 overgenomen.</t>
  </si>
  <si>
    <t>-4.48 Bodem bij ADC. Wijkt sterk af van eerste meting. Slechte satteliet ontvangst. Z misschien niet goed. Daarom vervangen door meting van juni door VV</t>
  </si>
  <si>
    <t>Vervangen door meting van juni door VV</t>
  </si>
  <si>
    <t>-4.30. Onrealistische waarde. Vervangen door eerdere meting door VV, 1-11-2019</t>
  </si>
  <si>
    <t>Wijkt veel af, volgende keer goed controleren.</t>
  </si>
  <si>
    <t>Meting bodem niet mogelijk, vorige waarneming gebruikt</t>
  </si>
  <si>
    <t>Meting onbruikbaar</t>
  </si>
  <si>
    <t>1.3309-2.967=-1.64. Deze waarde overgenomen, lettend op waterstandsverschillen met FL67 op windstille dagen [VV].</t>
  </si>
  <si>
    <t>1.3109-2.967=-1.66. Doorgevoerd vanwege twee nagenoeg identieke inmetingen op rij. [VV]</t>
  </si>
  <si>
    <t>Meting niet betrouwbaar, vorige meting aanhouden</t>
  </si>
  <si>
    <t>FL69</t>
  </si>
  <si>
    <t>IJsselmeer 2</t>
  </si>
  <si>
    <t>Hoogte en heading zijn niet goed ingemeten. Wordt opnieuw ingemeten. Meting van 27-2 later ingevuld.</t>
  </si>
  <si>
    <t>NAP hoogte tranducent. Bovenkant behuizing ingemeten, offset tot transducent eraf getrokken. Heading ADV kompas is bruikbaar.</t>
  </si>
  <si>
    <t>Vaste offset tussen MPP en ADV</t>
  </si>
  <si>
    <t xml:space="preserve">STB </t>
  </si>
  <si>
    <t xml:space="preserve">NAP hoogte onderste bout. </t>
  </si>
  <si>
    <t>Bij geopend luik</t>
  </si>
  <si>
    <t>NAP hoogte ADC transducenten. Heading ADC kompas is bruikbaar.</t>
  </si>
  <si>
    <t>ADV/MPP uithouder is vervangen op 27 maart 2019</t>
  </si>
  <si>
    <t>GPS defect inmeting niet mogelijk.</t>
  </si>
  <si>
    <t>GPS defect, inmeting niet mogelijk. YSI schoongemaakt.</t>
  </si>
  <si>
    <t>Gemeten: 1.4686-2.967=-1.50. Aangepast naar -1.47 vanwege verschil met metingen voor en na de meting van oktober.</t>
  </si>
  <si>
    <t>-0.4944-0.945=-1.44 gemeten. Bleek niet correct te zijn o.b.v. twee omliggende metingen [VV]</t>
  </si>
  <si>
    <t>M59-0.1</t>
  </si>
  <si>
    <t>Gemeten: 1.5182-2.967=-1.45. Slechte GPS ontvangst door slecht weer.</t>
  </si>
  <si>
    <t>1.5579-2.967=-1.41. Ondanks deze meting toch de vorige waarde aangehouden. Zie email JWM 12-12.</t>
  </si>
  <si>
    <t>1.492-2.967=-1.48. Toont aan dat -1.41 van vorige meting inderdaad niet correct was [VV]. -1.47 aangehouden</t>
  </si>
  <si>
    <t>M79+0.181=-1.69, maar niet direct aanpassen bij een bodemverandering</t>
  </si>
  <si>
    <t>-0.4687-0.945=-1.41. Aangepast vanwege twee opeenvolgende meetrondes deze waarde, en lettend op waterstandsverschillen met STB [VV]. Offset aangepast vanwege enorme sprong in waterstand na onderhoudsronde.</t>
  </si>
  <si>
    <t>-0.4543-0.945=-1.40</t>
  </si>
  <si>
    <t>Inmeting mislukt / onduidelijk. Oude inmeting aangehouden.</t>
  </si>
  <si>
    <t>Niet steeds aanpassen o.b.v. inmeting bodem</t>
  </si>
  <si>
    <t>FL69A</t>
  </si>
  <si>
    <t>Niet goed ingemeten. Uithouder 40cm verhoogd ivm verzanding. Posities op basis van verhoging en meest recente goede inmeting.</t>
  </si>
  <si>
    <t>FL69B</t>
  </si>
  <si>
    <t>NAP hoogte transducenten AQD. Bovenkant bracket ingemeten, offset tot transducenten eraf getrokken. AQD kompas is bruikbaar.</t>
  </si>
  <si>
    <t>NAP hoogte tranducent. Bovenkant bracket ingemeten, offset tot transducent eraf getrokken.</t>
  </si>
  <si>
    <t>FL69C</t>
  </si>
  <si>
    <t>NAP hoogte meetvolume ADV. Bovenkant bracket ingemeten, offset tot meetvolume eraf getrokken. ADV kompas is bruikbaar</t>
  </si>
  <si>
    <t>-2.39, lijkt incorrect o.b.v. altimeter data, eerdere waarden overnemen</t>
  </si>
  <si>
    <t>GPS defect, geen inmeting mogelijk, waarden van augustus gebruikt</t>
  </si>
  <si>
    <t>FL70</t>
  </si>
  <si>
    <t>IJsselmeer 1</t>
  </si>
  <si>
    <t>Bordes = bout bordes, ook in het vervolg. Foute offset in GPS gebruikt. Opnieuw inmeten.</t>
  </si>
  <si>
    <t>-1.78 vervangen door waarde van vorige meting (-1.75, VV, 1-11-2019)</t>
  </si>
  <si>
    <t>-3,7255 (ivm variatie bodem houden we vorige meting aan)</t>
  </si>
  <si>
    <t>-3,5445 (ivm variatie bodem houden we vorige meting aan)</t>
  </si>
  <si>
    <t>Onbruikbare meting</t>
  </si>
  <si>
    <t>1.2095-2.967=-1.76. Op -1.75 gezet, lettend op de trend in de NAP_Z metingen [VV]</t>
  </si>
  <si>
    <t>-3,7612</t>
  </si>
  <si>
    <t>1.2076-2.967=-1.76</t>
  </si>
  <si>
    <t>-3.7376</t>
  </si>
  <si>
    <t>1.2279-2.967=-1.74. Wijziging overgenomen i.v.m. waterstandsverschillen</t>
  </si>
  <si>
    <t>1.2676-2.967=-1.70. Nog niet overgenomen gezien metingen in het verleden.</t>
  </si>
  <si>
    <t>FL70A</t>
  </si>
  <si>
    <t>0.1964-0.945=-0.75</t>
  </si>
  <si>
    <t>0.1913-0.945=-0.75. Drukmeter bij 70A valt regelmatig droog. Waterstanden daardoor onbetrouwbaar.</t>
  </si>
  <si>
    <t>0.1418-0.945=-0.80. Aangepast lettend op waterstandverschillen [VV]</t>
  </si>
  <si>
    <t>FL70B</t>
  </si>
  <si>
    <t>-0.347-0.565=-0.91. Later (27-3) aangepast in -0.97, vanwege inmeting maart 2020 en waterstandsverschillen [VV]</t>
  </si>
  <si>
    <t>Niet ingemeten, later opnieuw aangepast in -0.97, zie vorige comment.</t>
  </si>
  <si>
    <t>FL70C</t>
  </si>
  <si>
    <t>Bovenkant buis is ingemeten. Afstand tot ADV op basis van eerdere inmeting. Later okt meting ingevuld.</t>
  </si>
  <si>
    <t>Bovenkant buis is ingemeten. Afstand tot ALT op basis van eerdere inmeting. Later okt meting ingevuld.</t>
  </si>
  <si>
    <t>-0.5716-1.91=-2.48. Doorgevoerd lettend op waterstandsverschillen</t>
  </si>
  <si>
    <t>1.1839 lijkt niet goed</t>
  </si>
  <si>
    <t>-0.5155-1.91=-2.43. Opmerkelijk verschil met vorige keer. Niet doorgevoerd, lettend op waterstandsverschillen. Volgende keer valideren [VV]</t>
  </si>
  <si>
    <t>BUOY1</t>
  </si>
  <si>
    <t>Frame Marker Wadden</t>
  </si>
  <si>
    <t>NAP hoogte drukmeter (ongelijk aan transducent)! Bepaald o.b.v. drukmeting. De nulmeting bij opstarten was 1019mBar. Dit is als offset ingevoerd</t>
  </si>
  <si>
    <t>NAP hoogte sensoren</t>
  </si>
  <si>
    <t xml:space="preserve">x,y normaal gesproken bij het keyword Bordes, nu is dit eigenlijk een Frame. </t>
  </si>
  <si>
    <t>-4.5078. VV: Twee maal op rij deze orde van grootte, dus aangepast. ADC hoogte ook netjes daardoor (bodem + 0.181)</t>
  </si>
  <si>
    <t>Niet ingevuld in de sheet</t>
  </si>
  <si>
    <t xml:space="preserve">1.3374-2.967=-1.63. VV: Niet doorgevoerd omdat waterstanden bij -1.58 netjes waren t.o.v. andere STB's </t>
  </si>
  <si>
    <t>1.2688-2.967=-1.70. Niet doorgevoerd omdat waterstandsverschillen met STB van FL69 zeer klein waren met oude NAP Z.</t>
  </si>
  <si>
    <t>1.3441-2.967=-1.62. VV: doorgevoerd omdat waterstanden afweken. Ook veranderd in vorige waarde. Effectief vanaf 6-11 minus 10 dagen</t>
  </si>
  <si>
    <t>0,6558-1,82- 0,945. MPP vervangen vanwege defect.</t>
  </si>
  <si>
    <t>1.3869-2.967=-1.58. 3 cm omhoog klopt met waterstandsverschillen</t>
  </si>
  <si>
    <t>1.269-2.967=-1.70. Niet doorgevoerd omdat waterstandsverschillen daar geen aanleiding toe gaven. Bleek correct na meting december.</t>
  </si>
  <si>
    <t>-1,4121 maar in werkelijkheid waarschijnlijk ondieper. Vanwege plaatsen palen is bodemprofiel verstoord'</t>
  </si>
  <si>
    <t>-1,9379 maar in werkelijkheid waarschijnlijk ondieper. Vanwege plaatsen palen is bodemprofiel verstoord'</t>
  </si>
  <si>
    <t>1,5259 (meetfout?)</t>
  </si>
  <si>
    <t>Meting niet bruikbaar</t>
  </si>
  <si>
    <t>1.0719-2.967=-1.90. Toch niet overgenomen lettend op waterstandsverschillen</t>
  </si>
  <si>
    <t>-0.6684-0.565=-1.23 gemeten. Groot verschil, maar metingen door omstandigheden niet ideaal. Daarom oude waarden aangehouden.</t>
  </si>
  <si>
    <t>-1.1252-0.1=-1.23. Ook hier oude waarde aangehouden op advies JWM.</t>
  </si>
  <si>
    <t>-2.498. Meting onbetrouwbaar?</t>
  </si>
  <si>
    <t>1.3498-2.967=-1.62. Lettend op waterstandsverschillen toch oude waarde aangehouden.</t>
  </si>
  <si>
    <t>FL68A</t>
  </si>
  <si>
    <t>FL68B</t>
  </si>
  <si>
    <t>FL68C</t>
  </si>
  <si>
    <t>Meting niet gelukt</t>
  </si>
  <si>
    <t>=0,17-0,945</t>
  </si>
  <si>
    <t>=-0,55-0,1</t>
  </si>
  <si>
    <t>Meting mislukt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</si>
</sst>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#,##0.0000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theme="0" tint="-0.249977111117893"/>
      <name val="Arial"/>
      <family val="2"/>
    </font>
    <font>
      <sz val="10"/>
      <color theme="1"/>
      <name val="Arial"/>
      <family val="2"/>
    </font>
    <font>
      <sz val="10"/>
      <color rgb="FF00B050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14" fontId="0" fillId="0" borderId="0" xfId="0" applyNumberFormat="1"/>
    <xf numFmtId="0" fontId="1" fillId="0" borderId="0" xfId="0" applyNumberFormat="1" applyFont="1" applyAlignment="1">
      <alignment horizontal="left" vertical="top"/>
    </xf>
    <xf numFmtId="0" fontId="0" fillId="0" borderId="0" xfId="0" applyNumberFormat="1"/>
    <xf numFmtId="0" fontId="0" fillId="0" borderId="0" xfId="0" applyNumberFormat="1" applyAlignment="1">
      <alignment horizontal="left" vertical="top"/>
    </xf>
    <xf numFmtId="2" fontId="1" fillId="0" borderId="0" xfId="0" applyNumberFormat="1" applyFont="1" applyAlignment="1">
      <alignment horizontal="left" vertical="top" wrapText="1"/>
    </xf>
    <xf numFmtId="2" fontId="0" fillId="0" borderId="0" xfId="0" applyNumberFormat="1"/>
    <xf numFmtId="2" fontId="0" fillId="0" borderId="0" xfId="0" applyNumberFormat="1" applyAlignment="1">
      <alignment horizontal="left" vertical="top" wrapText="1"/>
    </xf>
    <xf numFmtId="0" fontId="2" fillId="0" borderId="0" xfId="0" applyNumberFormat="1" applyFont="1"/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/>
    </xf>
    <xf numFmtId="0" fontId="3" fillId="0" borderId="0" xfId="0" applyFont="1" applyAlignment="1">
      <alignment horizontal="right" vertical="top"/>
    </xf>
    <xf numFmtId="0" fontId="1" fillId="0" borderId="0" xfId="0" applyFont="1" applyAlignment="1">
      <alignment vertical="top" wrapText="1"/>
    </xf>
    <xf numFmtId="0" fontId="0" fillId="0" borderId="0" xfId="0" applyAlignment="1"/>
    <xf numFmtId="0" fontId="2" fillId="0" borderId="0" xfId="0" applyFont="1"/>
    <xf numFmtId="2" fontId="0" fillId="0" borderId="0" xfId="0" applyNumberFormat="1" applyFill="1"/>
    <xf numFmtId="0" fontId="0" fillId="0" borderId="0" xfId="0" applyFill="1"/>
    <xf numFmtId="2" fontId="2" fillId="0" borderId="0" xfId="0" applyNumberFormat="1" applyFont="1" applyFill="1"/>
    <xf numFmtId="0" fontId="0" fillId="0" borderId="0" xfId="0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vertical="top"/>
    </xf>
    <xf numFmtId="164" fontId="1" fillId="0" borderId="0" xfId="0" applyNumberFormat="1" applyFont="1" applyAlignment="1">
      <alignment vertical="top" wrapText="1"/>
    </xf>
    <xf numFmtId="164" fontId="0" fillId="0" borderId="0" xfId="0" applyNumberFormat="1" applyAlignment="1">
      <alignment vertical="top"/>
    </xf>
    <xf numFmtId="164" fontId="0" fillId="0" borderId="0" xfId="0" applyNumberFormat="1"/>
    <xf numFmtId="164" fontId="0" fillId="0" borderId="0" xfId="0" applyNumberFormat="1" applyAlignment="1">
      <alignment horizontal="left" vertical="top" wrapText="1"/>
    </xf>
    <xf numFmtId="0" fontId="2" fillId="0" borderId="0" xfId="0" applyFont="1" applyAlignment="1"/>
    <xf numFmtId="164" fontId="1" fillId="0" borderId="0" xfId="0" applyNumberFormat="1" applyFont="1" applyAlignment="1">
      <alignment horizontal="left" vertical="top" wrapText="1"/>
    </xf>
    <xf numFmtId="164" fontId="0" fillId="0" borderId="0" xfId="0" applyNumberFormat="1" applyAlignment="1">
      <alignment horizontal="right" vertical="top"/>
    </xf>
    <xf numFmtId="2" fontId="2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 vertical="top"/>
    </xf>
    <xf numFmtId="164" fontId="4" fillId="0" borderId="0" xfId="0" applyNumberFormat="1" applyFont="1" applyAlignment="1">
      <alignment vertical="top"/>
    </xf>
    <xf numFmtId="0" fontId="4" fillId="0" borderId="0" xfId="0" applyFont="1" applyFill="1" applyAlignment="1">
      <alignment horizontal="right"/>
    </xf>
    <xf numFmtId="2" fontId="1" fillId="0" borderId="0" xfId="0" applyNumberFormat="1" applyFont="1" applyAlignment="1">
      <alignment horizontal="right" vertical="top" wrapText="1"/>
    </xf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right" vertical="top" wrapText="1"/>
    </xf>
    <xf numFmtId="0" fontId="0" fillId="0" borderId="0" xfId="0" applyFill="1" applyAlignment="1">
      <alignment horizontal="left" vertical="top"/>
    </xf>
    <xf numFmtId="14" fontId="0" fillId="0" borderId="0" xfId="0" applyNumberFormat="1" applyFill="1"/>
    <xf numFmtId="0" fontId="2" fillId="0" borderId="0" xfId="0" applyFont="1" applyFill="1" applyAlignment="1">
      <alignment horizontal="left" vertical="top"/>
    </xf>
    <xf numFmtId="0" fontId="0" fillId="0" borderId="0" xfId="0" applyNumberFormat="1" applyFill="1"/>
    <xf numFmtId="14" fontId="2" fillId="0" borderId="0" xfId="0" applyNumberFormat="1" applyFont="1"/>
    <xf numFmtId="2" fontId="0" fillId="0" borderId="0" xfId="0" applyNumberFormat="1" applyFill="1" applyAlignment="1">
      <alignment horizontal="left" vertical="top"/>
    </xf>
    <xf numFmtId="2" fontId="0" fillId="0" borderId="0" xfId="0" applyNumberFormat="1" applyFill="1" applyAlignment="1">
      <alignment horizontal="left"/>
    </xf>
    <xf numFmtId="2" fontId="0" fillId="0" borderId="0" xfId="0" applyNumberFormat="1" applyAlignment="1">
      <alignment horizontal="left"/>
    </xf>
    <xf numFmtId="0" fontId="5" fillId="0" borderId="0" xfId="0" applyFont="1" applyAlignment="1">
      <alignment vertical="top"/>
    </xf>
    <xf numFmtId="1" fontId="5" fillId="0" borderId="0" xfId="0" applyNumberFormat="1" applyFont="1" applyAlignment="1">
      <alignment vertical="top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49" fontId="2" fillId="0" borderId="0" xfId="0" applyNumberFormat="1" applyFont="1" applyFill="1" applyAlignment="1">
      <alignment horizontal="left"/>
    </xf>
    <xf numFmtId="2" fontId="0" fillId="0" borderId="0" xfId="0" applyNumberFormat="1" applyFill="1" applyAlignment="1">
      <alignment horizontal="right"/>
    </xf>
    <xf numFmtId="2" fontId="0" fillId="0" borderId="0" xfId="0" applyNumberFormat="1" applyAlignment="1">
      <alignment horizontal="left" vertical="top"/>
    </xf>
    <xf numFmtId="2" fontId="0" fillId="0" borderId="0" xfId="0" applyNumberFormat="1" applyAlignment="1">
      <alignment horizontal="right" vertical="top"/>
    </xf>
    <xf numFmtId="2" fontId="0" fillId="0" borderId="0" xfId="0" applyNumberFormat="1" applyFill="1" applyAlignment="1">
      <alignment horizontal="right" vertical="top"/>
    </xf>
    <xf numFmtId="2" fontId="2" fillId="0" borderId="0" xfId="0" applyNumberFormat="1" applyFont="1"/>
    <xf numFmtId="2" fontId="1" fillId="0" borderId="0" xfId="0" applyNumberFormat="1" applyFont="1" applyFill="1" applyAlignment="1">
      <alignment horizontal="left" vertical="top" wrapText="1"/>
    </xf>
    <xf numFmtId="49" fontId="2" fillId="0" borderId="0" xfId="0" applyNumberFormat="1" applyFont="1" applyFill="1" applyAlignment="1">
      <alignment horizontal="left" vertical="top"/>
    </xf>
    <xf numFmtId="0" fontId="0" fillId="0" borderId="0" xfId="0" applyFill="1" applyAlignment="1">
      <alignment horizontal="right" vertical="top"/>
    </xf>
    <xf numFmtId="164" fontId="0" fillId="0" borderId="0" xfId="0" applyNumberFormat="1" applyFill="1"/>
    <xf numFmtId="2" fontId="2" fillId="0" borderId="0" xfId="0" applyNumberFormat="1" applyFont="1" applyFill="1" applyAlignment="1">
      <alignment horizontal="right" vertical="top"/>
    </xf>
    <xf numFmtId="0" fontId="6" fillId="0" borderId="0" xfId="0" applyFont="1" applyAlignment="1">
      <alignment horizontal="left" vertical="top"/>
    </xf>
    <xf numFmtId="164" fontId="2" fillId="0" borderId="0" xfId="0" applyNumberFormat="1" applyFont="1" applyFill="1" applyAlignment="1">
      <alignment horizontal="right" vertical="top"/>
    </xf>
    <xf numFmtId="164" fontId="4" fillId="0" borderId="0" xfId="0" applyNumberFormat="1" applyFont="1"/>
    <xf numFmtId="0" fontId="0" fillId="0" borderId="0" xfId="0" applyNumberFormat="1" applyAlignment="1">
      <alignment vertical="top"/>
    </xf>
    <xf numFmtId="0" fontId="5" fillId="0" borderId="0" xfId="0" applyNumberFormat="1" applyFont="1" applyAlignment="1">
      <alignment vertical="top"/>
    </xf>
    <xf numFmtId="0" fontId="4" fillId="0" borderId="0" xfId="0" applyNumberFormat="1" applyFont="1" applyAlignment="1">
      <alignment vertical="top"/>
    </xf>
    <xf numFmtId="0" fontId="0" fillId="0" borderId="0" xfId="0" applyNumberFormat="1" applyAlignment="1">
      <alignment horizontal="left" vertical="top" wrapText="1"/>
    </xf>
    <xf numFmtId="2" fontId="0" fillId="2" borderId="0" xfId="0" applyNumberFormat="1" applyFill="1"/>
    <xf numFmtId="0" fontId="2" fillId="0" borderId="0" xfId="0" applyFont="1" applyFill="1" applyAlignment="1">
      <alignment vertical="top"/>
    </xf>
    <xf numFmtId="2" fontId="0" fillId="3" borderId="0" xfId="0" applyNumberFormat="1" applyFill="1"/>
    <xf numFmtId="2" fontId="0" fillId="4" borderId="0" xfId="0" applyNumberFormat="1" applyFill="1"/>
    <xf numFmtId="2" fontId="0" fillId="0" borderId="0" xfId="0" quotePrefix="1" applyNumberFormat="1" applyFill="1" applyAlignment="1">
      <alignment horizontal="left"/>
    </xf>
    <xf numFmtId="2" fontId="2" fillId="0" borderId="0" xfId="0" quotePrefix="1" applyNumberFormat="1" applyFont="1" applyFill="1" applyAlignment="1">
      <alignment horizontal="left"/>
    </xf>
    <xf numFmtId="2" fontId="2" fillId="0" borderId="0" xfId="0" applyNumberFormat="1" applyFont="1" applyFill="1" applyAlignment="1"/>
    <xf numFmtId="0" fontId="1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vertical="top"/>
    </xf>
    <xf numFmtId="0" fontId="0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0" fontId="0" fillId="0" borderId="0" xfId="0" quotePrefix="1" applyFont="1" applyAlignment="1">
      <alignment horizontal="left"/>
    </xf>
    <xf numFmtId="2" fontId="7" fillId="0" borderId="0" xfId="0" quotePrefix="1" applyNumberFormat="1" applyFont="1" applyAlignment="1">
      <alignment horizontal="left" vertical="top"/>
    </xf>
    <xf numFmtId="2" fontId="2" fillId="0" borderId="0" xfId="0" applyNumberFormat="1" applyFont="1" applyAlignment="1">
      <alignment horizontal="left" vertical="top"/>
    </xf>
    <xf numFmtId="2" fontId="0" fillId="0" borderId="0" xfId="0" quotePrefix="1" applyNumberFormat="1" applyAlignment="1">
      <alignment horizontal="left"/>
    </xf>
    <xf numFmtId="0" fontId="0" fillId="2" borderId="0" xfId="0" applyFill="1" applyAlignment="1">
      <alignment horizontal="right" vertical="top"/>
    </xf>
    <xf numFmtId="49" fontId="2" fillId="0" borderId="0" xfId="0" applyNumberFormat="1" applyFont="1" applyAlignment="1">
      <alignment horizontal="left"/>
    </xf>
    <xf numFmtId="0" fontId="5" fillId="2" borderId="0" xfId="0" applyFont="1" applyFill="1" applyAlignment="1">
      <alignment vertical="top"/>
    </xf>
    <xf numFmtId="1" fontId="1" fillId="0" borderId="0" xfId="0" applyNumberFormat="1" applyFont="1" applyAlignment="1">
      <alignment horizontal="left" vertical="top"/>
    </xf>
    <xf numFmtId="1" fontId="0" fillId="0" borderId="0" xfId="0" applyNumberFormat="1"/>
    <xf numFmtId="1" fontId="0" fillId="0" borderId="0" xfId="0" applyNumberFormat="1" applyAlignment="1">
      <alignment horizontal="left" vertical="top"/>
    </xf>
    <xf numFmtId="0" fontId="5" fillId="2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NumberFormat="1" applyFont="1" applyFill="1" applyAlignment="1">
      <alignment vertical="top"/>
    </xf>
    <xf numFmtId="1" fontId="5" fillId="2" borderId="0" xfId="0" applyNumberFormat="1" applyFont="1" applyFill="1" applyAlignment="1">
      <alignment vertical="top"/>
    </xf>
    <xf numFmtId="2" fontId="2" fillId="0" borderId="0" xfId="0" applyNumberFormat="1" applyFont="1" applyAlignment="1">
      <alignment horizontal="right"/>
    </xf>
    <xf numFmtId="2" fontId="0" fillId="0" borderId="0" xfId="0" quotePrefix="1" applyNumberFormat="1" applyFill="1" applyAlignment="1">
      <alignment horizontal="left" vertical="top"/>
    </xf>
    <xf numFmtId="2" fontId="2" fillId="0" borderId="0" xfId="0" quotePrefix="1" applyNumberFormat="1" applyFont="1" applyFill="1" applyAlignment="1">
      <alignment horizontal="left" vertical="top"/>
    </xf>
    <xf numFmtId="2" fontId="2" fillId="0" borderId="0" xfId="0" quotePrefix="1" applyNumberFormat="1" applyFont="1" applyAlignment="1">
      <alignment horizontal="left"/>
    </xf>
    <xf numFmtId="2" fontId="2" fillId="2" borderId="0" xfId="0" applyNumberFormat="1" applyFont="1" applyFill="1" applyAlignment="1">
      <alignment horizontal="right"/>
    </xf>
    <xf numFmtId="2" fontId="8" fillId="0" borderId="0" xfId="0" quotePrefix="1" applyNumberFormat="1" applyFont="1" applyFill="1" applyAlignment="1">
      <alignment horizontal="left"/>
    </xf>
    <xf numFmtId="2" fontId="2" fillId="0" borderId="0" xfId="0" quotePrefix="1" applyNumberFormat="1" applyFont="1" applyFill="1" applyAlignment="1">
      <alignment horizontal="right"/>
    </xf>
    <xf numFmtId="2" fontId="0" fillId="0" borderId="0" xfId="0" quotePrefix="1" applyNumberFormat="1" applyFill="1" applyAlignment="1">
      <alignment horizontal="right"/>
    </xf>
    <xf numFmtId="2" fontId="0" fillId="2" borderId="0" xfId="0" applyNumberFormat="1" applyFill="1" applyAlignment="1">
      <alignment horizontal="right"/>
    </xf>
    <xf numFmtId="2" fontId="2" fillId="0" borderId="0" xfId="0" applyNumberFormat="1" applyFont="1" applyFill="1" applyAlignment="1">
      <alignment horizontal="left" vertical="top"/>
    </xf>
    <xf numFmtId="2" fontId="2" fillId="0" borderId="0" xfId="0" quotePrefix="1" applyNumberFormat="1" applyFont="1" applyAlignment="1">
      <alignment horizontal="left" vertical="top"/>
    </xf>
    <xf numFmtId="2" fontId="8" fillId="0" borderId="0" xfId="0" applyNumberFormat="1" applyFont="1" applyAlignment="1">
      <alignment horizontal="left"/>
    </xf>
    <xf numFmtId="2" fontId="8" fillId="0" borderId="0" xfId="0" applyNumberFormat="1" applyFont="1" applyFill="1" applyAlignment="1">
      <alignment horizontal="left"/>
    </xf>
    <xf numFmtId="1" fontId="0" fillId="2" borderId="0" xfId="0" applyNumberFormat="1" applyFill="1"/>
    <xf numFmtId="0" fontId="2" fillId="0" borderId="0" xfId="0" applyFont="1" applyFill="1"/>
    <xf numFmtId="1" fontId="0" fillId="0" borderId="0" xfId="0" applyNumberFormat="1" applyFill="1"/>
    <xf numFmtId="0" fontId="2" fillId="0" borderId="1" xfId="0" applyFont="1" applyBorder="1"/>
    <xf numFmtId="0" fontId="0" fillId="0" borderId="1" xfId="0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left" vertical="top"/>
    </xf>
    <xf numFmtId="0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0" borderId="1" xfId="0" applyNumberFormat="1" applyBorder="1"/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/>
    <xf numFmtId="14" fontId="0" fillId="0" borderId="1" xfId="0" applyNumberFormat="1" applyBorder="1"/>
    <xf numFmtId="1" fontId="0" fillId="0" borderId="1" xfId="0" applyNumberFormat="1" applyBorder="1"/>
    <xf numFmtId="164" fontId="0" fillId="0" borderId="1" xfId="0" applyNumberFormat="1" applyBorder="1"/>
    <xf numFmtId="2" fontId="2" fillId="0" borderId="0" xfId="0" quotePrefix="1" applyNumberFormat="1" applyFont="1" applyFill="1" applyAlignment="1">
      <alignment horizontal="right" vertical="top"/>
    </xf>
    <xf numFmtId="165" fontId="0" fillId="0" borderId="0" xfId="0" applyNumberFormat="1" applyAlignment="1">
      <alignment horizontal="left"/>
    </xf>
    <xf numFmtId="2" fontId="2" fillId="2" borderId="0" xfId="0" applyNumberFormat="1" applyFont="1" applyFill="1" applyAlignment="1">
      <alignment horizontal="left"/>
    </xf>
    <xf numFmtId="2" fontId="0" fillId="2" borderId="0" xfId="0" applyNumberFormat="1" applyFill="1" applyAlignment="1">
      <alignment horizontal="left"/>
    </xf>
    <xf numFmtId="2" fontId="0" fillId="2" borderId="0" xfId="0" quotePrefix="1" applyNumberFormat="1" applyFill="1" applyAlignment="1">
      <alignment horizontal="left"/>
    </xf>
    <xf numFmtId="166" fontId="0" fillId="0" borderId="0" xfId="0" applyNumberFormat="1" applyAlignment="1">
      <alignment horizontal="left"/>
    </xf>
    <xf numFmtId="4" fontId="0" fillId="0" borderId="0" xfId="0" applyNumberFormat="1" applyAlignment="1">
      <alignment horizontal="right"/>
    </xf>
    <xf numFmtId="0" fontId="8" fillId="0" borderId="0" xfId="0" applyFont="1" applyAlignment="1">
      <alignment horizontal="left"/>
    </xf>
    <xf numFmtId="0" fontId="2" fillId="0" borderId="0" xfId="0" applyFont="1" applyBorder="1" applyAlignment="1">
      <alignment horizontal="left" vertical="top"/>
    </xf>
    <xf numFmtId="0" fontId="0" fillId="0" borderId="0" xfId="0" applyBorder="1"/>
    <xf numFmtId="14" fontId="2" fillId="0" borderId="0" xfId="0" applyNumberFormat="1" applyFont="1" applyBorder="1"/>
    <xf numFmtId="0" fontId="0" fillId="0" borderId="0" xfId="0" applyNumberFormat="1" applyBorder="1"/>
    <xf numFmtId="2" fontId="0" fillId="0" borderId="0" xfId="0" applyNumberFormat="1" applyBorder="1"/>
    <xf numFmtId="2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left" vertical="top"/>
    </xf>
    <xf numFmtId="2" fontId="0" fillId="0" borderId="0" xfId="0" applyNumberFormat="1" applyBorder="1" applyAlignment="1">
      <alignment horizontal="right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/>
    <xf numFmtId="14" fontId="2" fillId="0" borderId="0" xfId="0" applyNumberFormat="1" applyFont="1" applyFill="1" applyBorder="1"/>
    <xf numFmtId="0" fontId="0" fillId="0" borderId="0" xfId="0" applyNumberFormat="1" applyFill="1" applyBorder="1"/>
    <xf numFmtId="2" fontId="0" fillId="0" borderId="0" xfId="0" applyNumberFormat="1" applyFill="1" applyBorder="1"/>
    <xf numFmtId="164" fontId="0" fillId="0" borderId="0" xfId="0" applyNumberFormat="1" applyFill="1" applyBorder="1"/>
    <xf numFmtId="0" fontId="0" fillId="0" borderId="0" xfId="0" applyFill="1" applyBorder="1" applyAlignment="1">
      <alignment horizontal="right" vertical="top"/>
    </xf>
    <xf numFmtId="2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 vertical="top"/>
    </xf>
    <xf numFmtId="0" fontId="0" fillId="2" borderId="0" xfId="0" applyNumberFormat="1" applyFill="1"/>
    <xf numFmtId="2" fontId="0" fillId="0" borderId="0" xfId="0" quotePrefix="1" applyNumberFormat="1" applyAlignment="1">
      <alignment horizontal="right"/>
    </xf>
    <xf numFmtId="2" fontId="8" fillId="0" borderId="0" xfId="0" quotePrefix="1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NumberFormat="1" applyFill="1" applyAlignment="1">
      <alignment horizontal="left"/>
    </xf>
    <xf numFmtId="0" fontId="2" fillId="0" borderId="0" xfId="0" applyFont="1" applyFill="1" applyBorder="1"/>
    <xf numFmtId="0" fontId="0" fillId="0" borderId="1" xfId="0" applyBorder="1" applyAlignment="1">
      <alignment horizontal="left"/>
    </xf>
    <xf numFmtId="0" fontId="2" fillId="0" borderId="1" xfId="0" applyFont="1" applyFill="1" applyBorder="1" applyAlignment="1">
      <alignment horizontal="left" vertical="top"/>
    </xf>
    <xf numFmtId="0" fontId="0" fillId="0" borderId="1" xfId="0" applyFill="1" applyBorder="1"/>
    <xf numFmtId="0" fontId="0" fillId="0" borderId="1" xfId="0" applyNumberFormat="1" applyFill="1" applyBorder="1"/>
    <xf numFmtId="2" fontId="0" fillId="0" borderId="1" xfId="0" applyNumberFormat="1" applyFill="1" applyBorder="1"/>
    <xf numFmtId="164" fontId="0" fillId="0" borderId="1" xfId="0" applyNumberFormat="1" applyFill="1" applyBorder="1"/>
    <xf numFmtId="0" fontId="0" fillId="0" borderId="1" xfId="0" applyFill="1" applyBorder="1" applyAlignment="1">
      <alignment horizontal="right" vertical="top"/>
    </xf>
    <xf numFmtId="2" fontId="0" fillId="0" borderId="1" xfId="0" applyNumberFormat="1" applyFill="1" applyBorder="1" applyAlignment="1">
      <alignment horizontal="left"/>
    </xf>
    <xf numFmtId="2" fontId="0" fillId="0" borderId="1" xfId="0" applyNumberFormat="1" applyFill="1" applyBorder="1" applyAlignment="1">
      <alignment horizontal="right"/>
    </xf>
    <xf numFmtId="2" fontId="0" fillId="0" borderId="1" xfId="0" applyNumberFormat="1" applyFill="1" applyBorder="1" applyAlignment="1">
      <alignment horizontal="right" vertical="top"/>
    </xf>
    <xf numFmtId="2" fontId="2" fillId="0" borderId="1" xfId="0" quotePrefix="1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 vertical="top"/>
    </xf>
    <xf numFmtId="14" fontId="0" fillId="0" borderId="1" xfId="0" applyNumberFormat="1" applyFill="1" applyBorder="1"/>
    <xf numFmtId="14" fontId="0" fillId="0" borderId="0" xfId="0" applyNumberFormat="1" applyBorder="1"/>
    <xf numFmtId="164" fontId="0" fillId="0" borderId="0" xfId="0" applyNumberFormat="1" applyBorder="1"/>
    <xf numFmtId="0" fontId="0" fillId="0" borderId="0" xfId="0" applyBorder="1" applyAlignment="1">
      <alignment horizontal="left"/>
    </xf>
    <xf numFmtId="2" fontId="2" fillId="0" borderId="0" xfId="0" quotePrefix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top"/>
    </xf>
    <xf numFmtId="164" fontId="4" fillId="0" borderId="0" xfId="0" applyNumberFormat="1" applyFont="1" applyBorder="1" applyAlignment="1">
      <alignment vertical="top"/>
    </xf>
    <xf numFmtId="1" fontId="0" fillId="0" borderId="0" xfId="0" applyNumberFormat="1" applyFill="1" applyBorder="1"/>
    <xf numFmtId="0" fontId="2" fillId="0" borderId="0" xfId="0" applyFont="1" applyBorder="1" applyAlignment="1">
      <alignment horizontal="left"/>
    </xf>
    <xf numFmtId="2" fontId="0" fillId="0" borderId="0" xfId="0" applyNumberFormat="1" applyFill="1" applyBorder="1" applyAlignment="1">
      <alignment horizontal="right"/>
    </xf>
    <xf numFmtId="2" fontId="2" fillId="0" borderId="0" xfId="0" quotePrefix="1" applyNumberFormat="1" applyFont="1" applyFill="1" applyBorder="1" applyAlignment="1">
      <alignment horizontal="left"/>
    </xf>
    <xf numFmtId="2" fontId="2" fillId="0" borderId="0" xfId="0" applyNumberFormat="1" applyFont="1" applyBorder="1" applyAlignment="1">
      <alignment horizontal="right"/>
    </xf>
    <xf numFmtId="2" fontId="2" fillId="0" borderId="0" xfId="0" quotePrefix="1" applyNumberFormat="1" applyFont="1" applyFill="1" applyBorder="1" applyAlignment="1">
      <alignment horizontal="left" vertical="top"/>
    </xf>
    <xf numFmtId="2" fontId="2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vertical="top"/>
    </xf>
    <xf numFmtId="2" fontId="2" fillId="0" borderId="0" xfId="0" quotePrefix="1" applyNumberFormat="1" applyFont="1" applyFill="1" applyBorder="1" applyAlignment="1">
      <alignment horizontal="right" vertical="top"/>
    </xf>
    <xf numFmtId="2" fontId="2" fillId="0" borderId="1" xfId="0" applyNumberFormat="1" applyFont="1" applyBorder="1"/>
    <xf numFmtId="2" fontId="2" fillId="0" borderId="1" xfId="0" quotePrefix="1" applyNumberFormat="1" applyFont="1" applyFill="1" applyBorder="1" applyAlignment="1">
      <alignment horizontal="left" vertical="top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left" vertical="top"/>
    </xf>
    <xf numFmtId="0" fontId="2" fillId="0" borderId="0" xfId="0" applyNumberFormat="1" applyFont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239"/>
  <sheetViews>
    <sheetView zoomScale="120" zoomScaleNormal="120" workbookViewId="0">
      <pane ySplit="1" topLeftCell="A64" activePane="bottomLeft" state="frozen"/>
      <selection activeCell="L2" sqref="L2"/>
      <selection pane="bottomLeft" activeCell="A86" sqref="A86"/>
    </sheetView>
  </sheetViews>
  <sheetFormatPr defaultColWidth="9.140625" defaultRowHeight="12.75" x14ac:dyDescent="0.2"/>
  <cols>
    <col min="1" max="1" width="10.140625" style="3" customWidth="1"/>
    <col min="2" max="2" width="25.7109375" style="3" customWidth="1"/>
    <col min="3" max="3" width="10.85546875" style="3" bestFit="1" customWidth="1"/>
    <col min="4" max="4" width="13.7109375" style="3" customWidth="1"/>
    <col min="5" max="5" width="11.42578125" style="8" customWidth="1"/>
    <col min="6" max="7" width="8" style="3" customWidth="1"/>
    <col min="8" max="8" width="8" style="11" customWidth="1"/>
    <col min="9" max="9" width="10.5703125" style="11" customWidth="1"/>
    <col min="10" max="10" width="15.28515625" style="11" customWidth="1"/>
    <col min="11" max="11" width="9.140625" style="11" customWidth="1"/>
    <col min="12" max="12" width="8" style="11" customWidth="1"/>
    <col min="13" max="13" width="116.28515625" style="82" customWidth="1"/>
    <col min="14" max="14" width="27.85546875" style="14" bestFit="1" customWidth="1"/>
    <col min="15" max="16384" width="9.140625" style="3"/>
  </cols>
  <sheetData>
    <row r="1" spans="1:14" s="1" customFormat="1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1" t="s">
        <v>5</v>
      </c>
      <c r="G1" s="1" t="s">
        <v>6</v>
      </c>
      <c r="H1" s="9" t="s">
        <v>7</v>
      </c>
      <c r="I1" s="30" t="s">
        <v>8</v>
      </c>
      <c r="J1" s="30" t="s">
        <v>9</v>
      </c>
      <c r="K1" s="16" t="s">
        <v>10</v>
      </c>
      <c r="L1" s="16" t="s">
        <v>11</v>
      </c>
      <c r="M1" s="77" t="s">
        <v>12</v>
      </c>
      <c r="N1" s="13"/>
    </row>
    <row r="2" spans="1:14" x14ac:dyDescent="0.2">
      <c r="A2" s="3" t="s">
        <v>13</v>
      </c>
      <c r="B2" t="s">
        <v>14</v>
      </c>
      <c r="C2" s="5">
        <v>43507</v>
      </c>
      <c r="D2" s="2" t="s">
        <v>15</v>
      </c>
      <c r="E2" s="7">
        <v>4231</v>
      </c>
      <c r="F2"/>
      <c r="G2"/>
      <c r="H2" s="10">
        <f>3.58-8+0.115</f>
        <v>-4.3049999999999997</v>
      </c>
      <c r="I2" s="23">
        <f>258-180+45</f>
        <v>123</v>
      </c>
      <c r="J2" s="14">
        <v>125.6</v>
      </c>
      <c r="K2" s="24">
        <f>J2-I2</f>
        <v>2.5999999999999943</v>
      </c>
      <c r="L2" s="24"/>
      <c r="M2" s="2" t="s">
        <v>16</v>
      </c>
      <c r="N2" s="3"/>
    </row>
    <row r="3" spans="1:14" x14ac:dyDescent="0.2">
      <c r="A3" s="3" t="s">
        <v>13</v>
      </c>
      <c r="B3" t="s">
        <v>14</v>
      </c>
      <c r="C3" s="5">
        <v>43507</v>
      </c>
      <c r="D3" s="2" t="s">
        <v>17</v>
      </c>
      <c r="E3" s="7">
        <v>27048</v>
      </c>
      <c r="F3"/>
      <c r="G3"/>
      <c r="H3" s="10">
        <f>1.38-2.96</f>
        <v>-1.58</v>
      </c>
      <c r="I3" s="10"/>
      <c r="J3" s="10"/>
      <c r="K3" s="10"/>
      <c r="L3" s="10"/>
      <c r="M3" s="51" t="s">
        <v>18</v>
      </c>
    </row>
    <row r="4" spans="1:14" x14ac:dyDescent="0.2">
      <c r="A4" s="3" t="s">
        <v>13</v>
      </c>
      <c r="B4" t="s">
        <v>14</v>
      </c>
      <c r="C4" s="5">
        <v>43507</v>
      </c>
      <c r="D4" s="2" t="s">
        <v>19</v>
      </c>
      <c r="E4" s="12">
        <v>2104</v>
      </c>
      <c r="F4"/>
      <c r="G4"/>
      <c r="H4" s="10"/>
      <c r="I4" s="10"/>
      <c r="J4" s="10"/>
      <c r="K4" s="10"/>
      <c r="L4" s="10"/>
      <c r="M4" s="51"/>
    </row>
    <row r="5" spans="1:14" x14ac:dyDescent="0.2">
      <c r="A5" s="3" t="s">
        <v>13</v>
      </c>
      <c r="B5" t="s">
        <v>14</v>
      </c>
      <c r="C5" s="5">
        <v>43507</v>
      </c>
      <c r="D5" s="2" t="s">
        <v>20</v>
      </c>
      <c r="E5" s="12"/>
      <c r="F5"/>
      <c r="G5"/>
      <c r="H5" s="10">
        <v>-0.34</v>
      </c>
      <c r="I5" s="10"/>
      <c r="J5" s="10"/>
      <c r="K5" s="10"/>
      <c r="L5" s="10"/>
      <c r="M5" s="51"/>
    </row>
    <row r="6" spans="1:14" x14ac:dyDescent="0.2">
      <c r="A6" s="3" t="s">
        <v>13</v>
      </c>
      <c r="B6" t="s">
        <v>14</v>
      </c>
      <c r="C6" s="5">
        <v>43507</v>
      </c>
      <c r="D6" s="2" t="s">
        <v>21</v>
      </c>
      <c r="E6" s="12"/>
      <c r="F6">
        <v>154025</v>
      </c>
      <c r="G6">
        <v>509448</v>
      </c>
      <c r="H6" s="10">
        <v>2.5</v>
      </c>
      <c r="I6" s="10"/>
      <c r="J6" s="10"/>
      <c r="K6" s="10"/>
      <c r="L6" s="10"/>
      <c r="M6" s="51"/>
    </row>
    <row r="7" spans="1:14" x14ac:dyDescent="0.2">
      <c r="A7" s="3" t="s">
        <v>13</v>
      </c>
      <c r="B7" t="s">
        <v>14</v>
      </c>
      <c r="C7" s="5">
        <v>43521</v>
      </c>
      <c r="D7" s="2" t="s">
        <v>21</v>
      </c>
      <c r="E7" s="7"/>
      <c r="F7">
        <v>154025</v>
      </c>
      <c r="G7">
        <v>509448</v>
      </c>
      <c r="H7" s="10">
        <v>2.31</v>
      </c>
      <c r="I7" s="10"/>
      <c r="J7" s="10"/>
      <c r="K7" s="10"/>
      <c r="L7" s="10"/>
      <c r="M7" s="81" t="s">
        <v>22</v>
      </c>
    </row>
    <row r="8" spans="1:14" x14ac:dyDescent="0.2">
      <c r="A8" s="3" t="s">
        <v>13</v>
      </c>
      <c r="B8" t="s">
        <v>14</v>
      </c>
      <c r="C8" s="5">
        <v>43521</v>
      </c>
      <c r="D8" s="41" t="s">
        <v>23</v>
      </c>
      <c r="E8" s="7"/>
      <c r="F8"/>
      <c r="G8"/>
      <c r="H8" s="10">
        <v>-4.38</v>
      </c>
      <c r="I8" s="10"/>
      <c r="J8" s="10"/>
      <c r="K8" s="10"/>
      <c r="L8" s="10"/>
      <c r="M8" s="51" t="s">
        <v>24</v>
      </c>
    </row>
    <row r="9" spans="1:14" x14ac:dyDescent="0.2">
      <c r="A9" s="3" t="s">
        <v>13</v>
      </c>
      <c r="B9" t="s">
        <v>14</v>
      </c>
      <c r="C9" s="5">
        <v>43521</v>
      </c>
      <c r="D9" s="2" t="s">
        <v>17</v>
      </c>
      <c r="E9" s="7">
        <v>27048</v>
      </c>
      <c r="F9"/>
      <c r="G9"/>
      <c r="H9" s="10">
        <f>1.12-2.96</f>
        <v>-1.8399999999999999</v>
      </c>
      <c r="I9" s="10"/>
      <c r="J9" s="10"/>
      <c r="K9" s="10"/>
      <c r="L9" s="10"/>
      <c r="M9" s="51" t="s">
        <v>25</v>
      </c>
    </row>
    <row r="10" spans="1:14" x14ac:dyDescent="0.2">
      <c r="A10" s="3" t="s">
        <v>13</v>
      </c>
      <c r="B10" t="s">
        <v>14</v>
      </c>
      <c r="C10" s="5">
        <v>43543</v>
      </c>
      <c r="D10" s="3" t="s">
        <v>17</v>
      </c>
      <c r="E10" s="7">
        <v>27048</v>
      </c>
      <c r="F10"/>
      <c r="G10"/>
      <c r="H10" s="10">
        <f>1.12-2.967</f>
        <v>-1.847</v>
      </c>
      <c r="I10" s="10"/>
      <c r="J10" s="10"/>
      <c r="K10" s="10"/>
      <c r="L10" s="10"/>
      <c r="M10" s="85" t="s">
        <v>26</v>
      </c>
    </row>
    <row r="11" spans="1:14" x14ac:dyDescent="0.2">
      <c r="A11" s="39" t="s">
        <v>13</v>
      </c>
      <c r="B11" s="20" t="s">
        <v>14</v>
      </c>
      <c r="C11" s="40">
        <v>43550</v>
      </c>
      <c r="D11" s="41" t="s">
        <v>23</v>
      </c>
      <c r="E11" s="42"/>
      <c r="F11" s="20"/>
      <c r="G11" s="20"/>
      <c r="H11" s="19">
        <v>-4.4953000000000003</v>
      </c>
      <c r="I11" s="10"/>
      <c r="J11" s="10"/>
      <c r="K11" s="10"/>
      <c r="L11" s="10"/>
      <c r="M11" s="51"/>
    </row>
    <row r="12" spans="1:14" x14ac:dyDescent="0.2">
      <c r="A12" s="39" t="s">
        <v>13</v>
      </c>
      <c r="B12" s="20" t="s">
        <v>14</v>
      </c>
      <c r="C12" s="40">
        <v>43550</v>
      </c>
      <c r="D12" s="41" t="s">
        <v>15</v>
      </c>
      <c r="E12" s="42">
        <v>4231</v>
      </c>
      <c r="F12" s="20"/>
      <c r="G12" s="20"/>
      <c r="H12" s="19">
        <f>-4.4953+0.181</f>
        <v>-4.3143000000000002</v>
      </c>
      <c r="I12" s="23">
        <f>258-180+45</f>
        <v>123</v>
      </c>
      <c r="J12" s="14">
        <v>125.6</v>
      </c>
      <c r="K12" s="24">
        <f>J12-I12</f>
        <v>2.5999999999999943</v>
      </c>
      <c r="L12" s="10"/>
      <c r="M12" s="51"/>
    </row>
    <row r="13" spans="1:14" x14ac:dyDescent="0.2">
      <c r="A13" s="39" t="s">
        <v>13</v>
      </c>
      <c r="B13" s="20" t="s">
        <v>14</v>
      </c>
      <c r="C13" s="40">
        <v>43550</v>
      </c>
      <c r="D13" s="41" t="s">
        <v>21</v>
      </c>
      <c r="E13" s="42"/>
      <c r="F13">
        <v>154025</v>
      </c>
      <c r="G13">
        <v>509448</v>
      </c>
      <c r="H13" s="19">
        <v>2.2740999999999998</v>
      </c>
      <c r="I13" s="10"/>
      <c r="J13" s="10"/>
      <c r="K13" s="10"/>
      <c r="L13" s="10"/>
      <c r="M13" s="51" t="s">
        <v>27</v>
      </c>
    </row>
    <row r="14" spans="1:14" x14ac:dyDescent="0.2">
      <c r="A14" s="39" t="s">
        <v>13</v>
      </c>
      <c r="B14" s="20" t="s">
        <v>14</v>
      </c>
      <c r="C14" s="40">
        <v>43550</v>
      </c>
      <c r="D14" s="41" t="s">
        <v>17</v>
      </c>
      <c r="E14" s="42">
        <v>27048</v>
      </c>
      <c r="F14" s="20"/>
      <c r="G14" s="20"/>
      <c r="H14" s="70">
        <f>1.0739-2.967</f>
        <v>-1.8931</v>
      </c>
      <c r="I14" s="10"/>
      <c r="J14" s="10"/>
      <c r="K14" s="10"/>
      <c r="L14" s="10"/>
      <c r="M14" s="87" t="s">
        <v>28</v>
      </c>
    </row>
    <row r="15" spans="1:14" x14ac:dyDescent="0.2">
      <c r="A15" s="39" t="s">
        <v>13</v>
      </c>
      <c r="B15" s="20" t="s">
        <v>14</v>
      </c>
      <c r="C15" s="40">
        <v>43578</v>
      </c>
      <c r="D15" s="41" t="s">
        <v>21</v>
      </c>
      <c r="E15" s="42"/>
      <c r="F15">
        <v>154025</v>
      </c>
      <c r="G15">
        <v>509448</v>
      </c>
      <c r="H15" s="19">
        <v>2.2766000000000002</v>
      </c>
      <c r="I15" s="10"/>
      <c r="J15" s="10"/>
      <c r="K15" s="10"/>
      <c r="L15" s="10"/>
      <c r="M15" s="51"/>
    </row>
    <row r="16" spans="1:14" x14ac:dyDescent="0.2">
      <c r="A16" s="39" t="s">
        <v>13</v>
      </c>
      <c r="B16" s="20" t="s">
        <v>14</v>
      </c>
      <c r="C16" s="40">
        <v>43578</v>
      </c>
      <c r="D16" s="41" t="s">
        <v>17</v>
      </c>
      <c r="E16" s="42">
        <v>27048</v>
      </c>
      <c r="F16" s="20"/>
      <c r="G16" s="20"/>
      <c r="H16" s="19">
        <f>1.1205-2.967</f>
        <v>-1.8465</v>
      </c>
      <c r="I16" s="10"/>
      <c r="J16" s="10"/>
      <c r="K16" s="10"/>
      <c r="L16" s="10"/>
      <c r="M16" s="51"/>
    </row>
    <row r="17" spans="1:14" x14ac:dyDescent="0.2">
      <c r="A17" s="39" t="s">
        <v>13</v>
      </c>
      <c r="B17" s="20" t="s">
        <v>14</v>
      </c>
      <c r="C17" s="40">
        <v>43605</v>
      </c>
      <c r="D17" s="41" t="s">
        <v>21</v>
      </c>
      <c r="E17" s="42"/>
      <c r="F17">
        <v>154025</v>
      </c>
      <c r="G17">
        <v>509448</v>
      </c>
      <c r="H17" s="19">
        <v>2.3005</v>
      </c>
      <c r="I17" s="10"/>
      <c r="J17" s="10"/>
      <c r="K17" s="10"/>
      <c r="L17" s="10"/>
      <c r="M17" s="51"/>
    </row>
    <row r="18" spans="1:14" x14ac:dyDescent="0.2">
      <c r="A18" s="39" t="s">
        <v>13</v>
      </c>
      <c r="B18" s="20" t="s">
        <v>14</v>
      </c>
      <c r="C18" s="40">
        <v>43605</v>
      </c>
      <c r="D18" s="41" t="s">
        <v>17</v>
      </c>
      <c r="E18" s="42">
        <v>27048</v>
      </c>
      <c r="F18" s="20"/>
      <c r="G18" s="20"/>
      <c r="H18" s="19">
        <f>1.1046-2.967</f>
        <v>-1.8624000000000001</v>
      </c>
      <c r="I18" s="10"/>
      <c r="J18" s="10"/>
      <c r="K18" s="10"/>
      <c r="L18" s="10"/>
      <c r="M18" s="51" t="s">
        <v>29</v>
      </c>
    </row>
    <row r="19" spans="1:14" x14ac:dyDescent="0.2">
      <c r="A19" s="39" t="s">
        <v>13</v>
      </c>
      <c r="B19" s="20" t="s">
        <v>14</v>
      </c>
      <c r="C19" s="40">
        <v>43633</v>
      </c>
      <c r="D19" s="41" t="s">
        <v>21</v>
      </c>
      <c r="E19" s="42"/>
      <c r="F19">
        <v>154025</v>
      </c>
      <c r="G19">
        <v>509448</v>
      </c>
      <c r="H19" s="19">
        <v>2.3005</v>
      </c>
      <c r="I19" s="10"/>
      <c r="J19" s="10"/>
      <c r="K19" s="10"/>
      <c r="L19" s="10"/>
      <c r="M19" s="44">
        <v>2.3043</v>
      </c>
    </row>
    <row r="20" spans="1:14" x14ac:dyDescent="0.2">
      <c r="A20" s="39" t="s">
        <v>13</v>
      </c>
      <c r="B20" s="20" t="s">
        <v>14</v>
      </c>
      <c r="C20" s="40">
        <v>43633</v>
      </c>
      <c r="D20" s="41" t="s">
        <v>17</v>
      </c>
      <c r="E20" s="42">
        <v>27048</v>
      </c>
      <c r="F20" s="20"/>
      <c r="G20" s="20"/>
      <c r="H20" s="19">
        <f>1.1046-2.967</f>
        <v>-1.8624000000000001</v>
      </c>
      <c r="I20" s="10"/>
      <c r="J20" s="10"/>
      <c r="K20" s="10"/>
      <c r="L20" s="10"/>
      <c r="M20" s="45">
        <f>1.0983-2.967</f>
        <v>-1.8687</v>
      </c>
    </row>
    <row r="21" spans="1:14" x14ac:dyDescent="0.2">
      <c r="A21" s="39" t="s">
        <v>13</v>
      </c>
      <c r="B21" s="20" t="s">
        <v>14</v>
      </c>
      <c r="C21" s="40">
        <v>43633</v>
      </c>
      <c r="D21" s="41" t="s">
        <v>23</v>
      </c>
      <c r="E21" s="42"/>
      <c r="F21" s="20"/>
      <c r="G21" s="20"/>
      <c r="H21" s="19">
        <v>-4.3781999999999996</v>
      </c>
      <c r="I21" s="10"/>
      <c r="J21" s="10"/>
      <c r="K21" s="10"/>
      <c r="L21" s="10"/>
      <c r="M21" s="45">
        <v>-4.3781999999999996</v>
      </c>
    </row>
    <row r="22" spans="1:14" x14ac:dyDescent="0.2">
      <c r="A22" s="39" t="s">
        <v>13</v>
      </c>
      <c r="B22" s="20" t="s">
        <v>14</v>
      </c>
      <c r="C22" s="40">
        <v>43633</v>
      </c>
      <c r="D22" s="41" t="s">
        <v>15</v>
      </c>
      <c r="E22" s="42">
        <v>4231</v>
      </c>
      <c r="F22" s="20"/>
      <c r="G22" s="20"/>
      <c r="H22" s="19">
        <f>H21+0.181</f>
        <v>-4.1971999999999996</v>
      </c>
      <c r="I22" s="23">
        <f>258-180+45</f>
        <v>123</v>
      </c>
      <c r="J22" s="14">
        <v>125.6</v>
      </c>
      <c r="K22" s="24">
        <f>J22-I22</f>
        <v>2.5999999999999943</v>
      </c>
      <c r="L22" s="10"/>
      <c r="M22" s="45">
        <f>M21+0.181</f>
        <v>-4.1971999999999996</v>
      </c>
    </row>
    <row r="23" spans="1:14" x14ac:dyDescent="0.2">
      <c r="A23" s="39" t="s">
        <v>13</v>
      </c>
      <c r="B23" s="20" t="s">
        <v>14</v>
      </c>
      <c r="C23" s="40">
        <v>43691</v>
      </c>
      <c r="D23" s="41" t="s">
        <v>21</v>
      </c>
      <c r="E23" s="42"/>
      <c r="F23">
        <v>154025</v>
      </c>
      <c r="G23">
        <v>509448</v>
      </c>
      <c r="H23" s="19">
        <v>2.2999999999999998</v>
      </c>
      <c r="I23" s="19"/>
      <c r="J23" s="10"/>
      <c r="K23" s="10"/>
      <c r="L23" s="10"/>
      <c r="M23" s="44"/>
    </row>
    <row r="24" spans="1:14" x14ac:dyDescent="0.2">
      <c r="A24" s="39" t="s">
        <v>13</v>
      </c>
      <c r="B24" s="20" t="s">
        <v>14</v>
      </c>
      <c r="C24" s="40">
        <v>43691</v>
      </c>
      <c r="D24" s="41" t="s">
        <v>17</v>
      </c>
      <c r="E24" s="42">
        <v>27048</v>
      </c>
      <c r="F24" s="20"/>
      <c r="G24" s="20"/>
      <c r="H24" s="19">
        <f>1.1046-2.967</f>
        <v>-1.8624000000000001</v>
      </c>
      <c r="J24" s="10"/>
      <c r="K24" s="10"/>
      <c r="L24" s="10"/>
      <c r="M24" s="45"/>
    </row>
    <row r="25" spans="1:14" x14ac:dyDescent="0.2">
      <c r="A25" s="39" t="s">
        <v>13</v>
      </c>
      <c r="B25" s="20" t="s">
        <v>14</v>
      </c>
      <c r="C25" s="40">
        <v>43691</v>
      </c>
      <c r="D25" s="41" t="s">
        <v>23</v>
      </c>
      <c r="E25" s="42"/>
      <c r="F25" s="20"/>
      <c r="G25" s="20"/>
      <c r="H25" s="19">
        <v>-4.3781999999999996</v>
      </c>
      <c r="J25" s="10"/>
      <c r="K25" s="10"/>
      <c r="L25" s="10"/>
      <c r="M25" s="45"/>
    </row>
    <row r="26" spans="1:14" x14ac:dyDescent="0.2">
      <c r="A26" s="39" t="s">
        <v>13</v>
      </c>
      <c r="B26" s="20" t="s">
        <v>14</v>
      </c>
      <c r="C26" s="40">
        <v>43691</v>
      </c>
      <c r="D26" s="41" t="s">
        <v>15</v>
      </c>
      <c r="E26" s="42">
        <v>4231</v>
      </c>
      <c r="F26" s="20"/>
      <c r="G26" s="20"/>
      <c r="H26" s="19">
        <f>H25+0.181</f>
        <v>-4.1971999999999996</v>
      </c>
      <c r="I26" s="23">
        <f>258-180+45</f>
        <v>123</v>
      </c>
      <c r="J26" s="14">
        <v>125.6</v>
      </c>
      <c r="K26" s="24">
        <f>J26-I26</f>
        <v>2.5999999999999943</v>
      </c>
      <c r="L26" s="10"/>
      <c r="M26" s="45"/>
    </row>
    <row r="27" spans="1:14" x14ac:dyDescent="0.2">
      <c r="A27" s="39" t="s">
        <v>13</v>
      </c>
      <c r="B27" s="20" t="s">
        <v>14</v>
      </c>
      <c r="C27" s="40">
        <v>43718</v>
      </c>
      <c r="D27" s="41" t="s">
        <v>21</v>
      </c>
      <c r="E27" s="42"/>
      <c r="F27">
        <v>154025</v>
      </c>
      <c r="G27">
        <v>509448</v>
      </c>
      <c r="H27" s="19">
        <v>2.2999999999999998</v>
      </c>
      <c r="I27" s="10"/>
      <c r="J27" s="10"/>
      <c r="K27" s="10"/>
      <c r="L27" s="10"/>
      <c r="M27" s="51" t="s">
        <v>30</v>
      </c>
    </row>
    <row r="28" spans="1:14" x14ac:dyDescent="0.2">
      <c r="A28" s="39" t="s">
        <v>13</v>
      </c>
      <c r="B28" s="20" t="s">
        <v>14</v>
      </c>
      <c r="C28" s="40">
        <v>43718</v>
      </c>
      <c r="D28" s="41" t="s">
        <v>17</v>
      </c>
      <c r="E28" s="42">
        <v>27048</v>
      </c>
      <c r="F28"/>
      <c r="G28"/>
      <c r="H28" s="19">
        <f>1.1046-2.967</f>
        <v>-1.8624000000000001</v>
      </c>
      <c r="I28" s="10"/>
      <c r="J28" s="10"/>
      <c r="K28" s="10"/>
      <c r="L28" s="10"/>
      <c r="M28" s="51" t="s">
        <v>30</v>
      </c>
    </row>
    <row r="29" spans="1:14" x14ac:dyDescent="0.2">
      <c r="A29" s="39" t="s">
        <v>13</v>
      </c>
      <c r="B29" s="20" t="s">
        <v>14</v>
      </c>
      <c r="C29" s="40">
        <v>43718</v>
      </c>
      <c r="D29" s="41" t="s">
        <v>23</v>
      </c>
      <c r="E29" s="42"/>
      <c r="F29"/>
      <c r="G29"/>
      <c r="H29" s="19">
        <v>-4.3781999999999996</v>
      </c>
      <c r="I29" s="10"/>
      <c r="J29" s="10"/>
      <c r="K29" s="10"/>
      <c r="L29" s="10"/>
      <c r="M29" s="51" t="s">
        <v>30</v>
      </c>
    </row>
    <row r="30" spans="1:14" x14ac:dyDescent="0.2">
      <c r="A30" s="39" t="s">
        <v>13</v>
      </c>
      <c r="B30" s="20" t="s">
        <v>14</v>
      </c>
      <c r="C30" s="40">
        <v>43718</v>
      </c>
      <c r="D30" s="41" t="s">
        <v>15</v>
      </c>
      <c r="E30" s="42">
        <v>4231</v>
      </c>
      <c r="F30"/>
      <c r="G30"/>
      <c r="H30" s="19">
        <f>H29+0.181</f>
        <v>-4.1971999999999996</v>
      </c>
      <c r="I30" s="23">
        <f>258-180+45</f>
        <v>123</v>
      </c>
      <c r="J30" s="14">
        <v>125.6</v>
      </c>
      <c r="K30" s="24">
        <f>J30-I30</f>
        <v>2.5999999999999943</v>
      </c>
      <c r="L30" s="10"/>
      <c r="M30" s="51" t="s">
        <v>30</v>
      </c>
    </row>
    <row r="31" spans="1:14" x14ac:dyDescent="0.2">
      <c r="A31" s="39" t="s">
        <v>13</v>
      </c>
      <c r="B31" s="20" t="s">
        <v>14</v>
      </c>
      <c r="C31" s="40">
        <v>43745</v>
      </c>
      <c r="D31" s="41" t="s">
        <v>21</v>
      </c>
      <c r="E31" s="42"/>
      <c r="F31">
        <v>154025</v>
      </c>
      <c r="G31">
        <v>509448</v>
      </c>
      <c r="H31" s="19">
        <v>2.2999999999999998</v>
      </c>
      <c r="I31" s="10"/>
      <c r="J31" s="10"/>
      <c r="K31" s="10"/>
      <c r="L31" s="10"/>
      <c r="M31" s="51">
        <v>2.2841</v>
      </c>
    </row>
    <row r="32" spans="1:14" s="4" customFormat="1" x14ac:dyDescent="0.2">
      <c r="A32" s="39" t="s">
        <v>13</v>
      </c>
      <c r="B32" s="20" t="s">
        <v>14</v>
      </c>
      <c r="C32" s="40">
        <v>43745</v>
      </c>
      <c r="D32" s="41" t="s">
        <v>17</v>
      </c>
      <c r="E32" s="42">
        <v>27048</v>
      </c>
      <c r="F32" s="20"/>
      <c r="G32" s="20"/>
      <c r="H32" s="19">
        <f>1.1046-2.967</f>
        <v>-1.8624000000000001</v>
      </c>
      <c r="I32" s="10"/>
      <c r="J32" s="10"/>
      <c r="K32" s="10"/>
      <c r="L32" s="10"/>
      <c r="M32" s="45">
        <f>1.1118-2.967</f>
        <v>-1.8552000000000002</v>
      </c>
      <c r="N32" s="15"/>
    </row>
    <row r="33" spans="1:13" x14ac:dyDescent="0.2">
      <c r="A33" s="39" t="s">
        <v>13</v>
      </c>
      <c r="B33" s="20" t="s">
        <v>14</v>
      </c>
      <c r="C33" s="40">
        <v>43745</v>
      </c>
      <c r="D33" s="41" t="s">
        <v>23</v>
      </c>
      <c r="E33" s="42"/>
      <c r="F33" s="20"/>
      <c r="G33" s="20"/>
      <c r="H33" s="19">
        <v>-4.5119999999999996</v>
      </c>
      <c r="I33" s="10"/>
      <c r="J33" s="10"/>
      <c r="K33" s="10"/>
      <c r="L33" s="10"/>
      <c r="M33" s="52" t="s">
        <v>31</v>
      </c>
    </row>
    <row r="34" spans="1:13" x14ac:dyDescent="0.2">
      <c r="A34" s="39" t="s">
        <v>13</v>
      </c>
      <c r="B34" s="20" t="s">
        <v>14</v>
      </c>
      <c r="C34" s="40">
        <v>43745</v>
      </c>
      <c r="D34" s="41" t="s">
        <v>15</v>
      </c>
      <c r="E34" s="42">
        <v>4231</v>
      </c>
      <c r="F34" s="20"/>
      <c r="G34" s="20"/>
      <c r="H34" s="19">
        <f>H33+0.181</f>
        <v>-4.3309999999999995</v>
      </c>
      <c r="I34" s="23">
        <f>258-180+45</f>
        <v>123</v>
      </c>
      <c r="J34" s="14">
        <v>125.6</v>
      </c>
      <c r="K34" s="24">
        <f>J34-I34</f>
        <v>2.5999999999999943</v>
      </c>
      <c r="L34" s="10"/>
      <c r="M34" s="45"/>
    </row>
    <row r="35" spans="1:13" x14ac:dyDescent="0.2">
      <c r="A35" s="39" t="s">
        <v>13</v>
      </c>
      <c r="B35" s="20" t="s">
        <v>14</v>
      </c>
      <c r="C35" s="40">
        <v>43774</v>
      </c>
      <c r="D35" s="41" t="s">
        <v>21</v>
      </c>
      <c r="E35" s="42"/>
      <c r="F35" s="20">
        <v>154025</v>
      </c>
      <c r="G35" s="20">
        <v>509448</v>
      </c>
      <c r="H35" s="19">
        <v>2.2999999999999998</v>
      </c>
      <c r="I35" s="19"/>
      <c r="J35" s="19"/>
      <c r="K35" s="19"/>
      <c r="L35" s="19"/>
      <c r="M35" s="83">
        <v>2.3127</v>
      </c>
    </row>
    <row r="36" spans="1:13" x14ac:dyDescent="0.2">
      <c r="A36" s="39" t="s">
        <v>13</v>
      </c>
      <c r="B36" s="20" t="s">
        <v>14</v>
      </c>
      <c r="C36" s="40">
        <v>43774</v>
      </c>
      <c r="D36" s="41" t="s">
        <v>17</v>
      </c>
      <c r="E36" s="42">
        <v>27048</v>
      </c>
      <c r="F36" s="20"/>
      <c r="G36" s="20"/>
      <c r="H36" s="19">
        <f>1.1046-2.967</f>
        <v>-1.8624000000000001</v>
      </c>
      <c r="I36" s="19"/>
      <c r="J36" s="19"/>
      <c r="K36" s="19"/>
      <c r="L36" s="19"/>
      <c r="M36" s="45">
        <f>1.1208-2.967</f>
        <v>-1.8462000000000001</v>
      </c>
    </row>
    <row r="37" spans="1:13" x14ac:dyDescent="0.2">
      <c r="A37" s="39" t="s">
        <v>13</v>
      </c>
      <c r="B37" s="20" t="s">
        <v>14</v>
      </c>
      <c r="C37" s="40">
        <v>43774</v>
      </c>
      <c r="D37" s="41" t="s">
        <v>23</v>
      </c>
      <c r="E37" s="42"/>
      <c r="F37" s="20"/>
      <c r="G37" s="20"/>
      <c r="H37" s="19">
        <v>-4.4798</v>
      </c>
      <c r="I37" s="19"/>
      <c r="J37" s="19"/>
      <c r="K37" s="19"/>
      <c r="L37" s="19"/>
      <c r="M37" s="52" t="s">
        <v>32</v>
      </c>
    </row>
    <row r="38" spans="1:13" x14ac:dyDescent="0.2">
      <c r="A38" s="39" t="s">
        <v>13</v>
      </c>
      <c r="B38" s="20" t="s">
        <v>14</v>
      </c>
      <c r="C38" s="40">
        <v>43774</v>
      </c>
      <c r="D38" s="41" t="s">
        <v>15</v>
      </c>
      <c r="E38" s="42">
        <v>4231</v>
      </c>
      <c r="F38" s="20"/>
      <c r="G38" s="20"/>
      <c r="H38" s="19">
        <f>H37+0.181</f>
        <v>-4.2988</v>
      </c>
      <c r="I38" s="35">
        <f>258-180+45</f>
        <v>123</v>
      </c>
      <c r="J38" s="60">
        <v>125.6</v>
      </c>
      <c r="K38" s="84">
        <f>J38-I38</f>
        <v>2.5999999999999943</v>
      </c>
      <c r="L38" s="19"/>
      <c r="M38" s="45"/>
    </row>
    <row r="39" spans="1:13" x14ac:dyDescent="0.2">
      <c r="A39" s="39" t="s">
        <v>13</v>
      </c>
      <c r="B39" s="20" t="s">
        <v>14</v>
      </c>
      <c r="C39" s="40">
        <v>43801</v>
      </c>
      <c r="D39" s="41" t="s">
        <v>21</v>
      </c>
      <c r="E39" s="42"/>
      <c r="F39" s="20">
        <v>154025</v>
      </c>
      <c r="G39" s="20">
        <v>509448</v>
      </c>
      <c r="H39" s="19">
        <v>2.2999999999999998</v>
      </c>
      <c r="I39" s="19"/>
      <c r="J39" s="19"/>
      <c r="K39" s="19"/>
      <c r="L39" s="19"/>
      <c r="M39" s="51">
        <v>2.2875000000000001</v>
      </c>
    </row>
    <row r="40" spans="1:13" x14ac:dyDescent="0.2">
      <c r="A40" s="39" t="s">
        <v>13</v>
      </c>
      <c r="B40" s="20" t="s">
        <v>14</v>
      </c>
      <c r="C40" s="40">
        <v>43801</v>
      </c>
      <c r="D40" s="41" t="s">
        <v>17</v>
      </c>
      <c r="E40" s="42">
        <v>27048</v>
      </c>
      <c r="F40" s="20"/>
      <c r="G40" s="20"/>
      <c r="H40" s="19">
        <f>1.1046-2.967</f>
        <v>-1.8624000000000001</v>
      </c>
      <c r="I40" s="19"/>
      <c r="J40" s="19"/>
      <c r="K40" s="19"/>
      <c r="L40" s="19"/>
      <c r="M40" s="45">
        <f>1.1004-2.967</f>
        <v>-1.8666</v>
      </c>
    </row>
    <row r="41" spans="1:13" x14ac:dyDescent="0.2">
      <c r="A41" s="39" t="s">
        <v>13</v>
      </c>
      <c r="B41" s="20" t="s">
        <v>14</v>
      </c>
      <c r="C41" s="40">
        <v>43801</v>
      </c>
      <c r="D41" s="41" t="s">
        <v>23</v>
      </c>
      <c r="E41" s="42"/>
      <c r="F41" s="20"/>
      <c r="G41" s="20"/>
      <c r="H41" s="19">
        <v>-4.5019</v>
      </c>
      <c r="I41" s="19"/>
      <c r="J41" s="19"/>
      <c r="K41" s="19"/>
      <c r="L41" s="19"/>
      <c r="M41" s="52" t="s">
        <v>33</v>
      </c>
    </row>
    <row r="42" spans="1:13" x14ac:dyDescent="0.2">
      <c r="A42" s="39" t="s">
        <v>13</v>
      </c>
      <c r="B42" s="20" t="s">
        <v>14</v>
      </c>
      <c r="C42" s="40">
        <v>43801</v>
      </c>
      <c r="D42" s="41" t="s">
        <v>15</v>
      </c>
      <c r="E42" s="42">
        <v>4231</v>
      </c>
      <c r="F42" s="20"/>
      <c r="G42" s="20"/>
      <c r="H42" s="19">
        <f>H41+0.181</f>
        <v>-4.3209</v>
      </c>
      <c r="I42" s="35">
        <f>258-180+45</f>
        <v>123</v>
      </c>
      <c r="J42" s="60">
        <v>125.6</v>
      </c>
      <c r="K42" s="84">
        <f>J42-I42</f>
        <v>2.5999999999999943</v>
      </c>
      <c r="L42" s="19"/>
      <c r="M42" s="45"/>
    </row>
    <row r="43" spans="1:13" x14ac:dyDescent="0.2">
      <c r="A43" s="39" t="s">
        <v>13</v>
      </c>
      <c r="B43" s="20" t="s">
        <v>14</v>
      </c>
      <c r="C43" s="40">
        <v>43837</v>
      </c>
      <c r="D43" s="41" t="s">
        <v>21</v>
      </c>
      <c r="E43" s="42"/>
      <c r="F43" s="20">
        <v>154025</v>
      </c>
      <c r="G43" s="20">
        <v>509448</v>
      </c>
      <c r="H43" s="19">
        <v>2.2999999999999998</v>
      </c>
      <c r="I43" s="19"/>
      <c r="J43" s="19"/>
      <c r="K43" s="19"/>
      <c r="L43" s="19"/>
      <c r="M43" s="51" t="s">
        <v>34</v>
      </c>
    </row>
    <row r="44" spans="1:13" x14ac:dyDescent="0.2">
      <c r="A44" s="39" t="s">
        <v>13</v>
      </c>
      <c r="B44" s="20" t="s">
        <v>14</v>
      </c>
      <c r="C44" s="40">
        <v>43837</v>
      </c>
      <c r="D44" s="41" t="s">
        <v>17</v>
      </c>
      <c r="E44" s="42">
        <v>27048</v>
      </c>
      <c r="F44" s="20"/>
      <c r="G44" s="20"/>
      <c r="H44" s="19">
        <f>1.1046-2.967</f>
        <v>-1.8624000000000001</v>
      </c>
      <c r="I44" s="19"/>
      <c r="J44" s="19"/>
      <c r="K44" s="19"/>
      <c r="L44" s="19"/>
      <c r="M44" s="51" t="s">
        <v>34</v>
      </c>
    </row>
    <row r="45" spans="1:13" x14ac:dyDescent="0.2">
      <c r="A45" s="39" t="s">
        <v>13</v>
      </c>
      <c r="B45" s="20" t="s">
        <v>14</v>
      </c>
      <c r="C45" s="40">
        <v>43837</v>
      </c>
      <c r="D45" s="41" t="s">
        <v>23</v>
      </c>
      <c r="E45" s="42"/>
      <c r="F45" s="20"/>
      <c r="G45" s="20"/>
      <c r="H45" s="19">
        <v>-4.5019</v>
      </c>
      <c r="I45" s="19"/>
      <c r="J45" s="19"/>
      <c r="K45" s="19"/>
      <c r="L45" s="19"/>
      <c r="M45" s="51" t="s">
        <v>34</v>
      </c>
    </row>
    <row r="46" spans="1:13" x14ac:dyDescent="0.2">
      <c r="A46" s="39" t="s">
        <v>13</v>
      </c>
      <c r="B46" s="20" t="s">
        <v>14</v>
      </c>
      <c r="C46" s="40">
        <v>43837</v>
      </c>
      <c r="D46" s="41" t="s">
        <v>15</v>
      </c>
      <c r="E46" s="42">
        <v>4231</v>
      </c>
      <c r="F46" s="20"/>
      <c r="G46" s="20"/>
      <c r="H46" s="19">
        <f>H45+0.181</f>
        <v>-4.3209</v>
      </c>
      <c r="I46" s="35">
        <f>258-180+45</f>
        <v>123</v>
      </c>
      <c r="J46" s="60">
        <v>125.6</v>
      </c>
      <c r="K46" s="84">
        <f>J46-I46</f>
        <v>2.5999999999999943</v>
      </c>
      <c r="L46" s="19"/>
      <c r="M46" s="45"/>
    </row>
    <row r="47" spans="1:13" x14ac:dyDescent="0.2">
      <c r="A47" s="39" t="s">
        <v>13</v>
      </c>
      <c r="B47" s="20" t="s">
        <v>14</v>
      </c>
      <c r="C47" s="40">
        <v>43915</v>
      </c>
      <c r="D47" s="41" t="s">
        <v>21</v>
      </c>
      <c r="E47" s="42"/>
      <c r="F47" s="20">
        <v>154025</v>
      </c>
      <c r="G47" s="20">
        <v>509448</v>
      </c>
      <c r="H47" s="19">
        <v>2.2869999999999999</v>
      </c>
      <c r="I47" s="19"/>
      <c r="J47" s="19"/>
      <c r="K47" s="19"/>
      <c r="L47" s="19"/>
      <c r="M47" s="51">
        <v>2.2869999999999999</v>
      </c>
    </row>
    <row r="48" spans="1:13" x14ac:dyDescent="0.2">
      <c r="A48" s="39" t="s">
        <v>13</v>
      </c>
      <c r="B48" s="20" t="s">
        <v>14</v>
      </c>
      <c r="C48" s="40">
        <v>43915</v>
      </c>
      <c r="D48" s="41" t="s">
        <v>17</v>
      </c>
      <c r="E48" s="42">
        <v>27048</v>
      </c>
      <c r="F48" s="20"/>
      <c r="G48" s="20"/>
      <c r="H48" s="19">
        <f>1.1046-2.967</f>
        <v>-1.8624000000000001</v>
      </c>
      <c r="I48" s="19"/>
      <c r="J48" s="19"/>
      <c r="K48" s="19"/>
      <c r="L48" s="19"/>
      <c r="M48" s="52" t="s">
        <v>35</v>
      </c>
    </row>
    <row r="49" spans="1:13" x14ac:dyDescent="0.2">
      <c r="A49" s="39" t="s">
        <v>13</v>
      </c>
      <c r="B49" s="20" t="s">
        <v>14</v>
      </c>
      <c r="C49" s="40">
        <v>43915</v>
      </c>
      <c r="D49" s="41" t="s">
        <v>23</v>
      </c>
      <c r="E49" s="42"/>
      <c r="F49" s="20"/>
      <c r="G49" s="20"/>
      <c r="H49" s="19">
        <v>-4.5019</v>
      </c>
      <c r="I49" s="19"/>
      <c r="J49" s="19"/>
      <c r="K49" s="19"/>
      <c r="L49" s="19"/>
      <c r="M49" s="52" t="s">
        <v>36</v>
      </c>
    </row>
    <row r="50" spans="1:13" x14ac:dyDescent="0.2">
      <c r="A50" s="39" t="s">
        <v>13</v>
      </c>
      <c r="B50" s="20" t="s">
        <v>14</v>
      </c>
      <c r="C50" s="40">
        <v>43915</v>
      </c>
      <c r="D50" s="41" t="s">
        <v>15</v>
      </c>
      <c r="E50" s="42">
        <v>4231</v>
      </c>
      <c r="F50" s="20"/>
      <c r="G50" s="20"/>
      <c r="H50" s="19">
        <v>-4.3209</v>
      </c>
      <c r="I50" s="35">
        <f>258-180+45</f>
        <v>123</v>
      </c>
      <c r="J50" s="60">
        <v>125.6</v>
      </c>
      <c r="K50" s="84">
        <f>J50-I50</f>
        <v>2.5999999999999943</v>
      </c>
      <c r="L50" s="19"/>
      <c r="M50" s="45"/>
    </row>
    <row r="51" spans="1:13" x14ac:dyDescent="0.2">
      <c r="A51" s="39" t="s">
        <v>13</v>
      </c>
      <c r="B51" s="20" t="s">
        <v>14</v>
      </c>
      <c r="C51" s="40">
        <v>43941</v>
      </c>
      <c r="D51" s="41" t="s">
        <v>21</v>
      </c>
      <c r="E51" s="42"/>
      <c r="F51" s="20">
        <v>154025</v>
      </c>
      <c r="G51" s="20">
        <v>509448</v>
      </c>
      <c r="H51" s="19">
        <v>2.2869999999999999</v>
      </c>
      <c r="I51" s="19"/>
      <c r="J51" s="19"/>
      <c r="K51" s="19"/>
      <c r="L51" s="19"/>
      <c r="M51" s="51">
        <v>2.2648000000000001</v>
      </c>
    </row>
    <row r="52" spans="1:13" x14ac:dyDescent="0.2">
      <c r="A52" s="39" t="s">
        <v>13</v>
      </c>
      <c r="B52" s="20" t="s">
        <v>14</v>
      </c>
      <c r="C52" s="40">
        <v>43941</v>
      </c>
      <c r="D52" s="41" t="s">
        <v>17</v>
      </c>
      <c r="E52" s="42">
        <v>27048</v>
      </c>
      <c r="F52" s="20"/>
      <c r="G52" s="20"/>
      <c r="H52" s="53">
        <f>1.1028-2.967</f>
        <v>-1.8642000000000001</v>
      </c>
      <c r="I52" s="19"/>
      <c r="J52" s="19"/>
      <c r="K52" s="19"/>
      <c r="L52" s="19"/>
      <c r="M52" s="45" t="s">
        <v>37</v>
      </c>
    </row>
    <row r="53" spans="1:13" x14ac:dyDescent="0.2">
      <c r="A53" s="39" t="s">
        <v>13</v>
      </c>
      <c r="B53" s="20" t="s">
        <v>14</v>
      </c>
      <c r="C53" s="40">
        <v>43941</v>
      </c>
      <c r="D53" s="41" t="s">
        <v>23</v>
      </c>
      <c r="E53" s="42"/>
      <c r="F53" s="20"/>
      <c r="G53" s="20"/>
      <c r="H53" s="19">
        <v>-4.5019</v>
      </c>
      <c r="I53" s="19"/>
      <c r="J53" s="19"/>
      <c r="K53" s="19"/>
      <c r="L53" s="19"/>
      <c r="M53" s="52" t="s">
        <v>38</v>
      </c>
    </row>
    <row r="54" spans="1:13" x14ac:dyDescent="0.2">
      <c r="A54" s="39" t="s">
        <v>13</v>
      </c>
      <c r="B54" s="20" t="s">
        <v>14</v>
      </c>
      <c r="C54" s="40">
        <v>43941</v>
      </c>
      <c r="D54" s="41" t="s">
        <v>15</v>
      </c>
      <c r="E54" s="42">
        <v>4231</v>
      </c>
      <c r="F54" s="20"/>
      <c r="G54" s="20"/>
      <c r="H54" s="19">
        <v>-4.3209</v>
      </c>
      <c r="I54" s="35">
        <f>258-180+45</f>
        <v>123</v>
      </c>
      <c r="J54" s="60">
        <v>125.6</v>
      </c>
      <c r="K54" s="84">
        <f>J54-I54</f>
        <v>2.5999999999999943</v>
      </c>
      <c r="L54" s="19"/>
      <c r="M54" s="45"/>
    </row>
    <row r="55" spans="1:13" x14ac:dyDescent="0.2">
      <c r="A55" s="39" t="s">
        <v>13</v>
      </c>
      <c r="B55" s="20" t="s">
        <v>14</v>
      </c>
      <c r="C55" s="40">
        <v>43971</v>
      </c>
      <c r="D55" s="41" t="s">
        <v>21</v>
      </c>
      <c r="E55" s="42"/>
      <c r="F55" s="20">
        <v>154025</v>
      </c>
      <c r="G55" s="20">
        <v>509448</v>
      </c>
      <c r="H55" s="19">
        <v>2.2705000000000002</v>
      </c>
      <c r="I55" s="19"/>
      <c r="J55" s="19"/>
      <c r="K55" s="19"/>
      <c r="L55" s="19"/>
      <c r="M55" s="51">
        <v>2.2705000000000002</v>
      </c>
    </row>
    <row r="56" spans="1:13" x14ac:dyDescent="0.2">
      <c r="A56" s="39" t="s">
        <v>13</v>
      </c>
      <c r="B56" s="20" t="s">
        <v>14</v>
      </c>
      <c r="C56" s="40">
        <v>43971</v>
      </c>
      <c r="D56" s="41" t="s">
        <v>17</v>
      </c>
      <c r="E56" s="42">
        <v>27048</v>
      </c>
      <c r="F56" s="20"/>
      <c r="G56" s="20"/>
      <c r="H56" s="53">
        <f>1.1028-2.967</f>
        <v>-1.8642000000000001</v>
      </c>
      <c r="I56" s="19"/>
      <c r="J56" s="19"/>
      <c r="K56" s="19"/>
      <c r="L56" s="19"/>
      <c r="M56" s="50" t="s">
        <v>39</v>
      </c>
    </row>
    <row r="57" spans="1:13" x14ac:dyDescent="0.2">
      <c r="A57" s="39" t="s">
        <v>13</v>
      </c>
      <c r="B57" s="20" t="s">
        <v>14</v>
      </c>
      <c r="C57" s="40">
        <v>43971</v>
      </c>
      <c r="D57" s="41" t="s">
        <v>23</v>
      </c>
      <c r="E57" s="42"/>
      <c r="F57" s="20"/>
      <c r="G57" s="20"/>
      <c r="H57" s="53">
        <v>-4.4322999999999997</v>
      </c>
      <c r="I57" s="19"/>
      <c r="J57" s="19"/>
      <c r="K57" s="19"/>
      <c r="L57" s="19"/>
      <c r="M57" s="45">
        <v>-4.4322999999999997</v>
      </c>
    </row>
    <row r="58" spans="1:13" x14ac:dyDescent="0.2">
      <c r="A58" s="39" t="s">
        <v>13</v>
      </c>
      <c r="B58" s="20" t="s">
        <v>14</v>
      </c>
      <c r="C58" s="40">
        <v>43971</v>
      </c>
      <c r="D58" s="41" t="s">
        <v>15</v>
      </c>
      <c r="E58" s="42">
        <v>4231</v>
      </c>
      <c r="F58" s="20"/>
      <c r="G58" s="20"/>
      <c r="H58" s="19">
        <v>-4.3209</v>
      </c>
      <c r="I58" s="35">
        <f>258-180+45</f>
        <v>123</v>
      </c>
      <c r="J58" s="60">
        <v>125.6</v>
      </c>
      <c r="K58" s="84">
        <f>J58-I58</f>
        <v>2.5999999999999943</v>
      </c>
      <c r="L58" s="19"/>
      <c r="M58" s="45" t="s">
        <v>40</v>
      </c>
    </row>
    <row r="59" spans="1:13" x14ac:dyDescent="0.2">
      <c r="A59" s="39" t="s">
        <v>13</v>
      </c>
      <c r="B59" s="20" t="s">
        <v>14</v>
      </c>
      <c r="C59" s="40">
        <v>43997</v>
      </c>
      <c r="D59" s="41" t="s">
        <v>21</v>
      </c>
      <c r="E59" s="42"/>
      <c r="F59" s="20">
        <v>154025</v>
      </c>
      <c r="G59" s="20">
        <v>509448</v>
      </c>
      <c r="H59" s="19">
        <v>2.2705000000000002</v>
      </c>
      <c r="I59" s="19"/>
      <c r="J59" s="19"/>
      <c r="K59" s="19"/>
      <c r="L59" s="19"/>
      <c r="M59" s="51">
        <v>2.2915999999999999</v>
      </c>
    </row>
    <row r="60" spans="1:13" x14ac:dyDescent="0.2">
      <c r="A60" s="39" t="s">
        <v>13</v>
      </c>
      <c r="B60" s="20" t="s">
        <v>14</v>
      </c>
      <c r="C60" s="40">
        <v>43997</v>
      </c>
      <c r="D60" s="41" t="s">
        <v>17</v>
      </c>
      <c r="E60" s="42">
        <v>27048</v>
      </c>
      <c r="F60" s="20"/>
      <c r="G60" s="20"/>
      <c r="H60" s="53">
        <f>1.1028-2.967</f>
        <v>-1.8642000000000001</v>
      </c>
      <c r="I60" s="19"/>
      <c r="J60" s="19"/>
      <c r="K60" s="19"/>
      <c r="L60" s="19"/>
      <c r="M60" s="50">
        <f>1.1022-2.967</f>
        <v>-1.8648</v>
      </c>
    </row>
    <row r="61" spans="1:13" x14ac:dyDescent="0.2">
      <c r="A61" s="39" t="s">
        <v>13</v>
      </c>
      <c r="B61" s="20" t="s">
        <v>14</v>
      </c>
      <c r="C61" s="40">
        <v>43997</v>
      </c>
      <c r="D61" s="41" t="s">
        <v>23</v>
      </c>
      <c r="E61" s="42"/>
      <c r="F61" s="20"/>
      <c r="G61" s="20"/>
      <c r="H61" s="53">
        <v>-4.4322999999999997</v>
      </c>
      <c r="I61" s="19"/>
      <c r="J61" s="19"/>
      <c r="K61" s="19"/>
      <c r="L61" s="19"/>
      <c r="M61" s="50" t="s">
        <v>41</v>
      </c>
    </row>
    <row r="62" spans="1:13" x14ac:dyDescent="0.2">
      <c r="A62" s="39" t="s">
        <v>13</v>
      </c>
      <c r="B62" s="20" t="s">
        <v>14</v>
      </c>
      <c r="C62" s="40">
        <v>43997</v>
      </c>
      <c r="D62" s="41" t="s">
        <v>15</v>
      </c>
      <c r="E62" s="42">
        <v>4231</v>
      </c>
      <c r="F62" s="20"/>
      <c r="G62" s="20"/>
      <c r="H62" s="19">
        <v>-4.3209</v>
      </c>
      <c r="I62" s="35">
        <f>258-180+45</f>
        <v>123</v>
      </c>
      <c r="J62" s="60">
        <v>125.6</v>
      </c>
      <c r="K62" s="84">
        <f>J62-I62</f>
        <v>2.5999999999999943</v>
      </c>
      <c r="L62" s="19"/>
      <c r="M62" s="45"/>
    </row>
    <row r="63" spans="1:13" x14ac:dyDescent="0.2">
      <c r="A63" s="39" t="s">
        <v>13</v>
      </c>
      <c r="B63" s="20" t="s">
        <v>14</v>
      </c>
      <c r="C63" s="40">
        <v>44025</v>
      </c>
      <c r="D63" s="41" t="s">
        <v>21</v>
      </c>
      <c r="E63" s="42"/>
      <c r="F63" s="20">
        <v>154025</v>
      </c>
      <c r="G63" s="20">
        <v>509448</v>
      </c>
      <c r="H63" s="19">
        <v>2.2705000000000002</v>
      </c>
      <c r="I63" s="19"/>
      <c r="J63" s="19"/>
      <c r="K63" s="19"/>
      <c r="L63" s="19"/>
      <c r="M63" s="51">
        <v>2.2888999999999999</v>
      </c>
    </row>
    <row r="64" spans="1:13" x14ac:dyDescent="0.2">
      <c r="A64" s="39" t="s">
        <v>13</v>
      </c>
      <c r="B64" s="20" t="s">
        <v>14</v>
      </c>
      <c r="C64" s="40">
        <v>44025</v>
      </c>
      <c r="D64" s="41" t="s">
        <v>17</v>
      </c>
      <c r="E64" s="42">
        <v>27048</v>
      </c>
      <c r="F64" s="20"/>
      <c r="G64" s="20"/>
      <c r="H64" s="53">
        <f>1.1028-2.967</f>
        <v>-1.8642000000000001</v>
      </c>
      <c r="I64" s="19"/>
      <c r="J64" s="19"/>
      <c r="K64" s="19"/>
      <c r="L64" s="19"/>
      <c r="M64" s="50">
        <f>1.1064-2.967</f>
        <v>-1.8606</v>
      </c>
    </row>
    <row r="65" spans="1:13" x14ac:dyDescent="0.2">
      <c r="A65" s="39" t="s">
        <v>13</v>
      </c>
      <c r="B65" s="20" t="s">
        <v>14</v>
      </c>
      <c r="C65" s="40">
        <v>44025</v>
      </c>
      <c r="D65" s="41" t="s">
        <v>23</v>
      </c>
      <c r="E65" s="42"/>
      <c r="F65" s="20"/>
      <c r="G65" s="20"/>
      <c r="H65" s="53">
        <v>-4.4322999999999997</v>
      </c>
      <c r="I65" s="19"/>
      <c r="J65" s="19"/>
      <c r="K65" s="19"/>
      <c r="L65" s="19"/>
      <c r="M65" s="50">
        <v>-4.4322999999999997</v>
      </c>
    </row>
    <row r="66" spans="1:13" x14ac:dyDescent="0.2">
      <c r="A66" s="39" t="s">
        <v>13</v>
      </c>
      <c r="B66" s="20" t="s">
        <v>14</v>
      </c>
      <c r="C66" s="40">
        <v>44025</v>
      </c>
      <c r="D66" s="41" t="s">
        <v>15</v>
      </c>
      <c r="E66" s="42">
        <v>4231</v>
      </c>
      <c r="F66" s="20"/>
      <c r="G66" s="20"/>
      <c r="H66" s="19">
        <v>-4.3209</v>
      </c>
      <c r="I66" s="35">
        <f>258-180+45</f>
        <v>123</v>
      </c>
      <c r="J66" s="60">
        <v>125.6</v>
      </c>
      <c r="K66" s="84">
        <f>J66-I66</f>
        <v>2.5999999999999943</v>
      </c>
      <c r="L66" s="19"/>
      <c r="M66" s="45"/>
    </row>
    <row r="67" spans="1:13" x14ac:dyDescent="0.2">
      <c r="A67" t="s">
        <v>13</v>
      </c>
      <c r="B67" t="s">
        <v>14</v>
      </c>
      <c r="C67" s="5">
        <v>44053</v>
      </c>
      <c r="D67" t="s">
        <v>21</v>
      </c>
      <c r="E67" s="7"/>
      <c r="F67">
        <v>154025</v>
      </c>
      <c r="G67">
        <v>509448</v>
      </c>
      <c r="H67" s="37">
        <v>2.27</v>
      </c>
      <c r="I67" s="10"/>
      <c r="J67" s="10"/>
      <c r="K67" s="10"/>
      <c r="L67" s="10"/>
      <c r="M67" s="137">
        <v>2.2993999999999999</v>
      </c>
    </row>
    <row r="68" spans="1:13" x14ac:dyDescent="0.2">
      <c r="A68" t="s">
        <v>13</v>
      </c>
      <c r="B68" t="s">
        <v>14</v>
      </c>
      <c r="C68" s="5">
        <v>44053</v>
      </c>
      <c r="D68" t="s">
        <v>17</v>
      </c>
      <c r="E68" s="7">
        <v>27048</v>
      </c>
      <c r="F68"/>
      <c r="G68"/>
      <c r="H68" s="37">
        <v>-1.86</v>
      </c>
      <c r="I68" s="10"/>
      <c r="J68" s="10"/>
      <c r="K68" s="10"/>
      <c r="L68" s="10"/>
      <c r="M68" s="51">
        <v>-1.84</v>
      </c>
    </row>
    <row r="69" spans="1:13" x14ac:dyDescent="0.2">
      <c r="A69" t="s">
        <v>13</v>
      </c>
      <c r="B69" t="s">
        <v>14</v>
      </c>
      <c r="C69" s="5">
        <v>44053</v>
      </c>
      <c r="D69" t="s">
        <v>23</v>
      </c>
      <c r="E69" s="7"/>
      <c r="F69"/>
      <c r="G69"/>
      <c r="H69" s="37">
        <v>-4.43</v>
      </c>
      <c r="I69" s="10"/>
      <c r="J69" s="10"/>
      <c r="K69" s="10"/>
      <c r="L69" s="10"/>
      <c r="M69" s="51">
        <v>-4.5199999999999996</v>
      </c>
    </row>
    <row r="70" spans="1:13" x14ac:dyDescent="0.2">
      <c r="A70" t="s">
        <v>13</v>
      </c>
      <c r="B70" t="s">
        <v>14</v>
      </c>
      <c r="C70" s="5">
        <v>44053</v>
      </c>
      <c r="D70" t="s">
        <v>15</v>
      </c>
      <c r="E70" s="7">
        <v>4231</v>
      </c>
      <c r="F70"/>
      <c r="G70"/>
      <c r="H70" s="37">
        <v>-4.32</v>
      </c>
      <c r="I70" s="35">
        <f>258-180+45</f>
        <v>123</v>
      </c>
      <c r="J70" s="10">
        <v>125.6</v>
      </c>
      <c r="K70" s="84">
        <f>J70-I70</f>
        <v>2.5999999999999943</v>
      </c>
      <c r="L70" s="10"/>
      <c r="M70" s="51" t="s">
        <v>42</v>
      </c>
    </row>
    <row r="71" spans="1:13" x14ac:dyDescent="0.2">
      <c r="A71" t="s">
        <v>13</v>
      </c>
      <c r="B71" t="s">
        <v>14</v>
      </c>
      <c r="C71" s="5">
        <v>44081</v>
      </c>
      <c r="D71" t="s">
        <v>21</v>
      </c>
      <c r="E71" s="7"/>
      <c r="F71">
        <v>154025</v>
      </c>
      <c r="G71">
        <v>509448</v>
      </c>
      <c r="H71" s="37">
        <v>2.2970000000000002</v>
      </c>
      <c r="I71" s="10"/>
      <c r="J71" s="10"/>
      <c r="K71" s="10"/>
      <c r="L71" s="10"/>
      <c r="M71" s="137">
        <v>2.2970000000000002</v>
      </c>
    </row>
    <row r="72" spans="1:13" x14ac:dyDescent="0.2">
      <c r="A72" t="s">
        <v>13</v>
      </c>
      <c r="B72" t="s">
        <v>14</v>
      </c>
      <c r="C72" s="5">
        <v>44081</v>
      </c>
      <c r="D72" t="s">
        <v>17</v>
      </c>
      <c r="E72" s="7">
        <v>27048</v>
      </c>
      <c r="F72"/>
      <c r="G72"/>
      <c r="H72" s="37">
        <v>-1.86</v>
      </c>
      <c r="I72" s="10"/>
      <c r="J72" s="10"/>
      <c r="K72" s="10"/>
      <c r="L72" s="10"/>
      <c r="M72" s="50">
        <f>1.1029-2.967</f>
        <v>-1.8641000000000001</v>
      </c>
    </row>
    <row r="73" spans="1:13" x14ac:dyDescent="0.2">
      <c r="A73" t="s">
        <v>13</v>
      </c>
      <c r="B73" t="s">
        <v>14</v>
      </c>
      <c r="C73" s="5">
        <v>44081</v>
      </c>
      <c r="D73" t="s">
        <v>23</v>
      </c>
      <c r="E73" s="7"/>
      <c r="F73"/>
      <c r="G73"/>
      <c r="H73" s="37">
        <v>-4.5077999999999996</v>
      </c>
      <c r="I73" s="10"/>
      <c r="J73" s="10"/>
      <c r="K73" s="10"/>
      <c r="L73" s="10"/>
      <c r="M73" s="86" t="s">
        <v>201</v>
      </c>
    </row>
    <row r="74" spans="1:13" x14ac:dyDescent="0.2">
      <c r="A74" t="s">
        <v>13</v>
      </c>
      <c r="B74" t="s">
        <v>14</v>
      </c>
      <c r="C74" s="5">
        <v>44081</v>
      </c>
      <c r="D74" t="s">
        <v>15</v>
      </c>
      <c r="E74" s="7">
        <v>4231</v>
      </c>
      <c r="F74"/>
      <c r="G74"/>
      <c r="H74" s="37">
        <v>-4.32</v>
      </c>
      <c r="I74" s="35">
        <f>258-180+45</f>
        <v>123</v>
      </c>
      <c r="J74" s="10">
        <v>125.6</v>
      </c>
      <c r="K74" s="84">
        <f>J74-I74</f>
        <v>2.5999999999999943</v>
      </c>
      <c r="L74" s="10"/>
      <c r="M74" s="51" t="s">
        <v>42</v>
      </c>
    </row>
    <row r="75" spans="1:13" x14ac:dyDescent="0.2">
      <c r="A75" t="s">
        <v>13</v>
      </c>
      <c r="B75" t="s">
        <v>14</v>
      </c>
      <c r="C75" s="5">
        <v>44139</v>
      </c>
      <c r="D75" t="s">
        <v>21</v>
      </c>
      <c r="E75" s="7"/>
      <c r="F75">
        <v>154025</v>
      </c>
      <c r="G75">
        <v>509448</v>
      </c>
      <c r="H75" s="37">
        <v>2.2970000000000002</v>
      </c>
      <c r="I75" s="10"/>
      <c r="J75" s="10"/>
      <c r="K75" s="10"/>
      <c r="L75" s="10"/>
      <c r="M75" s="137">
        <v>2.2759999999999998</v>
      </c>
    </row>
    <row r="76" spans="1:13" x14ac:dyDescent="0.2">
      <c r="A76" t="s">
        <v>13</v>
      </c>
      <c r="B76" t="s">
        <v>14</v>
      </c>
      <c r="C76" s="5">
        <v>44139</v>
      </c>
      <c r="D76" t="s">
        <v>17</v>
      </c>
      <c r="E76" s="7">
        <v>27048</v>
      </c>
      <c r="F76"/>
      <c r="G76"/>
      <c r="H76" s="37">
        <v>-1.86</v>
      </c>
      <c r="I76" s="10"/>
      <c r="J76" s="10"/>
      <c r="K76" s="10"/>
      <c r="L76" s="10"/>
      <c r="M76" s="50">
        <f>1.0856-2.967</f>
        <v>-1.8814000000000002</v>
      </c>
    </row>
    <row r="77" spans="1:13" x14ac:dyDescent="0.2">
      <c r="A77" t="s">
        <v>13</v>
      </c>
      <c r="B77" t="s">
        <v>14</v>
      </c>
      <c r="C77" s="5">
        <v>44139</v>
      </c>
      <c r="D77" t="s">
        <v>23</v>
      </c>
      <c r="E77" s="7"/>
      <c r="F77"/>
      <c r="G77"/>
      <c r="H77" s="37">
        <v>-4.5077999999999996</v>
      </c>
      <c r="I77" s="10"/>
      <c r="J77" s="10"/>
      <c r="K77" s="10"/>
      <c r="L77" s="10"/>
      <c r="M77" s="51">
        <v>-4.4806999999999997</v>
      </c>
    </row>
    <row r="78" spans="1:13" x14ac:dyDescent="0.2">
      <c r="A78" t="s">
        <v>13</v>
      </c>
      <c r="B78" t="s">
        <v>14</v>
      </c>
      <c r="C78" s="5">
        <v>44139</v>
      </c>
      <c r="D78" t="s">
        <v>15</v>
      </c>
      <c r="E78" s="7">
        <v>4231</v>
      </c>
      <c r="F78"/>
      <c r="G78"/>
      <c r="H78" s="37">
        <v>-4.32</v>
      </c>
      <c r="I78" s="35">
        <f>258-180+45</f>
        <v>123</v>
      </c>
      <c r="J78" s="10">
        <v>125.6</v>
      </c>
      <c r="K78" s="84">
        <f>J78-I78</f>
        <v>2.5999999999999943</v>
      </c>
      <c r="L78" s="10"/>
      <c r="M78" s="51" t="s">
        <v>42</v>
      </c>
    </row>
    <row r="79" spans="1:13" x14ac:dyDescent="0.2">
      <c r="A79" t="s">
        <v>13</v>
      </c>
      <c r="B79" t="s">
        <v>14</v>
      </c>
      <c r="C79" s="5">
        <v>44165</v>
      </c>
      <c r="D79" t="s">
        <v>21</v>
      </c>
      <c r="E79" s="7"/>
      <c r="F79">
        <v>154025</v>
      </c>
      <c r="G79">
        <v>509448</v>
      </c>
      <c r="H79" s="138">
        <v>2.2553999999999998</v>
      </c>
      <c r="I79" s="10"/>
      <c r="J79" s="10"/>
      <c r="K79" s="10"/>
      <c r="L79" s="10"/>
      <c r="M79" s="137">
        <v>2.2553999999999998</v>
      </c>
    </row>
    <row r="80" spans="1:13" x14ac:dyDescent="0.2">
      <c r="A80" t="s">
        <v>13</v>
      </c>
      <c r="B80" t="s">
        <v>14</v>
      </c>
      <c r="C80" s="5">
        <v>44165</v>
      </c>
      <c r="D80" t="s">
        <v>17</v>
      </c>
      <c r="E80" s="7">
        <v>27048</v>
      </c>
      <c r="F80"/>
      <c r="G80"/>
      <c r="H80" s="37">
        <v>-1.86</v>
      </c>
      <c r="I80" s="10"/>
      <c r="J80" s="10"/>
      <c r="K80" s="10"/>
      <c r="L80" s="10"/>
      <c r="M80" s="50">
        <f>1.0733-2.967</f>
        <v>-1.8937000000000002</v>
      </c>
    </row>
    <row r="81" spans="1:13" x14ac:dyDescent="0.2">
      <c r="A81" t="s">
        <v>13</v>
      </c>
      <c r="B81" t="s">
        <v>14</v>
      </c>
      <c r="C81" s="5">
        <v>44165</v>
      </c>
      <c r="D81" t="s">
        <v>23</v>
      </c>
      <c r="E81" s="7"/>
      <c r="F81"/>
      <c r="G81"/>
      <c r="H81" s="37">
        <v>-4.5077999999999996</v>
      </c>
      <c r="I81" s="10"/>
      <c r="J81" s="10"/>
      <c r="K81" s="10"/>
      <c r="L81" s="10"/>
      <c r="M81" s="51">
        <v>-4.5384000000000002</v>
      </c>
    </row>
    <row r="82" spans="1:13" x14ac:dyDescent="0.2">
      <c r="A82" t="s">
        <v>13</v>
      </c>
      <c r="B82" t="s">
        <v>14</v>
      </c>
      <c r="C82" s="5">
        <v>44165</v>
      </c>
      <c r="D82" t="s">
        <v>15</v>
      </c>
      <c r="E82" s="7">
        <v>4231</v>
      </c>
      <c r="F82"/>
      <c r="G82"/>
      <c r="H82" s="37">
        <v>-4.32</v>
      </c>
      <c r="I82" s="35">
        <f>258-180+45</f>
        <v>123</v>
      </c>
      <c r="J82" s="10">
        <v>125.6</v>
      </c>
      <c r="K82" s="84">
        <f>J82-I82</f>
        <v>2.5999999999999943</v>
      </c>
      <c r="L82" s="10"/>
      <c r="M82" s="51" t="s">
        <v>42</v>
      </c>
    </row>
    <row r="83" spans="1:13" ht="12.75" customHeight="1" x14ac:dyDescent="0.2">
      <c r="A83" t="s">
        <v>13</v>
      </c>
      <c r="B83" t="s">
        <v>14</v>
      </c>
      <c r="C83" s="5">
        <v>44222</v>
      </c>
      <c r="D83" t="s">
        <v>21</v>
      </c>
      <c r="E83" s="7"/>
      <c r="F83">
        <v>154025</v>
      </c>
      <c r="G83">
        <v>509448</v>
      </c>
      <c r="H83" s="138">
        <v>2.2553999999999998</v>
      </c>
      <c r="I83" s="10"/>
      <c r="J83" s="10"/>
      <c r="K83" s="10"/>
      <c r="L83" s="10"/>
      <c r="M83" s="137">
        <v>2.2597999999999998</v>
      </c>
    </row>
    <row r="84" spans="1:13" ht="12.75" customHeight="1" x14ac:dyDescent="0.2">
      <c r="A84" t="s">
        <v>13</v>
      </c>
      <c r="B84" t="s">
        <v>14</v>
      </c>
      <c r="C84" s="5">
        <v>44222</v>
      </c>
      <c r="D84" t="s">
        <v>17</v>
      </c>
      <c r="E84" s="7">
        <v>27048</v>
      </c>
      <c r="F84"/>
      <c r="G84"/>
      <c r="H84" s="37">
        <v>-1.86</v>
      </c>
      <c r="I84" s="10"/>
      <c r="J84" s="10"/>
      <c r="K84" s="10"/>
      <c r="L84" s="10"/>
      <c r="M84" s="113" t="s">
        <v>213</v>
      </c>
    </row>
    <row r="85" spans="1:13" x14ac:dyDescent="0.2">
      <c r="A85" t="s">
        <v>13</v>
      </c>
      <c r="B85" t="s">
        <v>14</v>
      </c>
      <c r="C85" s="5">
        <v>44222</v>
      </c>
      <c r="D85" t="s">
        <v>23</v>
      </c>
      <c r="E85" s="7"/>
      <c r="F85"/>
      <c r="G85"/>
      <c r="H85" s="37">
        <v>-4.5077999999999996</v>
      </c>
      <c r="I85" s="10"/>
      <c r="J85" s="10"/>
      <c r="K85" s="10"/>
      <c r="L85" s="10"/>
      <c r="M85" s="51" t="s">
        <v>80</v>
      </c>
    </row>
    <row r="86" spans="1:13" x14ac:dyDescent="0.2">
      <c r="A86" t="s">
        <v>13</v>
      </c>
      <c r="B86" t="s">
        <v>14</v>
      </c>
      <c r="C86" s="5">
        <v>44222</v>
      </c>
      <c r="D86" t="s">
        <v>15</v>
      </c>
      <c r="E86" s="7">
        <v>4231</v>
      </c>
      <c r="F86"/>
      <c r="G86"/>
      <c r="H86" s="37">
        <v>-4.32</v>
      </c>
      <c r="I86" s="35">
        <f>258-180+45</f>
        <v>123</v>
      </c>
      <c r="J86" s="10">
        <v>125.6</v>
      </c>
      <c r="K86" s="84">
        <f>J86-I86</f>
        <v>2.5999999999999943</v>
      </c>
      <c r="L86" s="10"/>
      <c r="M86" s="51"/>
    </row>
    <row r="87" spans="1:13" x14ac:dyDescent="0.2">
      <c r="A87"/>
      <c r="B87"/>
      <c r="C87"/>
      <c r="D87"/>
      <c r="E87" s="7"/>
      <c r="F87"/>
      <c r="G87"/>
      <c r="H87" s="10"/>
      <c r="I87" s="10"/>
      <c r="J87" s="10"/>
      <c r="K87" s="10"/>
      <c r="L87" s="10"/>
      <c r="M87" s="51"/>
    </row>
    <row r="88" spans="1:13" x14ac:dyDescent="0.2">
      <c r="A88"/>
      <c r="B88"/>
      <c r="C88"/>
      <c r="D88"/>
      <c r="E88" s="7"/>
      <c r="F88"/>
      <c r="G88"/>
      <c r="H88" s="10"/>
      <c r="I88" s="10"/>
      <c r="J88" s="10"/>
      <c r="K88" s="10"/>
      <c r="L88" s="10"/>
      <c r="M88" s="51"/>
    </row>
    <row r="89" spans="1:13" x14ac:dyDescent="0.2">
      <c r="A89"/>
      <c r="B89"/>
      <c r="C89"/>
      <c r="D89"/>
      <c r="E89" s="7"/>
      <c r="F89"/>
      <c r="G89"/>
      <c r="H89" s="10"/>
      <c r="I89" s="10"/>
      <c r="J89" s="10"/>
      <c r="K89" s="10"/>
      <c r="L89" s="10"/>
      <c r="M89" s="51"/>
    </row>
    <row r="90" spans="1:13" x14ac:dyDescent="0.2">
      <c r="A90"/>
      <c r="B90"/>
      <c r="C90"/>
      <c r="D90"/>
      <c r="E90" s="7"/>
      <c r="F90"/>
      <c r="G90"/>
      <c r="H90" s="10"/>
      <c r="I90" s="10"/>
      <c r="J90" s="10"/>
      <c r="K90" s="10"/>
      <c r="L90" s="10"/>
      <c r="M90" s="51"/>
    </row>
    <row r="91" spans="1:13" x14ac:dyDescent="0.2">
      <c r="A91"/>
      <c r="B91"/>
      <c r="C91"/>
      <c r="D91"/>
      <c r="E91" s="7"/>
      <c r="F91"/>
      <c r="G91"/>
      <c r="H91" s="10"/>
      <c r="I91" s="10"/>
      <c r="J91" s="10"/>
      <c r="K91" s="10"/>
      <c r="L91" s="10"/>
      <c r="M91" s="51"/>
    </row>
    <row r="92" spans="1:13" x14ac:dyDescent="0.2">
      <c r="A92"/>
      <c r="B92"/>
      <c r="C92"/>
      <c r="D92"/>
      <c r="E92" s="7"/>
      <c r="F92"/>
      <c r="G92"/>
      <c r="H92" s="10"/>
      <c r="I92" s="10"/>
      <c r="J92" s="10"/>
      <c r="K92" s="10"/>
      <c r="L92" s="10"/>
      <c r="M92" s="51"/>
    </row>
    <row r="93" spans="1:13" x14ac:dyDescent="0.2">
      <c r="A93"/>
      <c r="B93"/>
      <c r="C93"/>
      <c r="D93"/>
      <c r="E93" s="7"/>
      <c r="F93"/>
      <c r="G93"/>
      <c r="H93" s="10"/>
      <c r="I93" s="10"/>
      <c r="J93" s="10"/>
      <c r="K93" s="10"/>
      <c r="L93" s="10"/>
      <c r="M93" s="51"/>
    </row>
    <row r="94" spans="1:13" x14ac:dyDescent="0.2">
      <c r="A94"/>
      <c r="B94"/>
      <c r="C94"/>
      <c r="D94"/>
      <c r="E94" s="7"/>
      <c r="F94"/>
      <c r="G94"/>
      <c r="H94" s="10"/>
      <c r="I94" s="10"/>
      <c r="J94" s="10"/>
      <c r="K94" s="10"/>
      <c r="L94" s="10"/>
      <c r="M94" s="51"/>
    </row>
    <row r="95" spans="1:13" x14ac:dyDescent="0.2">
      <c r="A95"/>
      <c r="B95"/>
      <c r="C95"/>
      <c r="D95"/>
      <c r="E95" s="7"/>
      <c r="F95"/>
      <c r="G95"/>
      <c r="H95" s="10"/>
      <c r="I95" s="10"/>
      <c r="J95" s="10"/>
      <c r="K95" s="10"/>
      <c r="L95" s="10"/>
      <c r="M95" s="51"/>
    </row>
    <row r="96" spans="1:13" x14ac:dyDescent="0.2">
      <c r="A96"/>
      <c r="B96"/>
      <c r="C96"/>
      <c r="D96"/>
      <c r="E96" s="7"/>
      <c r="F96"/>
      <c r="G96"/>
      <c r="H96" s="10"/>
      <c r="I96" s="10"/>
      <c r="J96" s="10"/>
      <c r="K96" s="10"/>
      <c r="L96" s="10"/>
      <c r="M96" s="51"/>
    </row>
    <row r="97" spans="1:13" x14ac:dyDescent="0.2">
      <c r="A97"/>
      <c r="B97"/>
      <c r="C97"/>
      <c r="D97"/>
      <c r="E97" s="7"/>
      <c r="F97"/>
      <c r="G97"/>
      <c r="H97" s="10"/>
      <c r="I97" s="10"/>
      <c r="J97" s="10"/>
      <c r="K97" s="10"/>
      <c r="L97" s="10"/>
      <c r="M97" s="51"/>
    </row>
    <row r="98" spans="1:13" x14ac:dyDescent="0.2">
      <c r="A98"/>
      <c r="B98"/>
      <c r="C98"/>
      <c r="D98"/>
      <c r="E98" s="7"/>
      <c r="F98"/>
      <c r="G98"/>
      <c r="H98" s="10"/>
      <c r="I98" s="10"/>
      <c r="J98" s="10"/>
      <c r="K98" s="10"/>
      <c r="L98" s="10"/>
      <c r="M98" s="51"/>
    </row>
    <row r="99" spans="1:13" x14ac:dyDescent="0.2">
      <c r="A99"/>
      <c r="B99"/>
      <c r="C99"/>
      <c r="D99"/>
      <c r="E99" s="7"/>
      <c r="F99"/>
      <c r="G99"/>
      <c r="H99" s="10"/>
      <c r="I99" s="10"/>
      <c r="J99" s="10"/>
      <c r="K99" s="10"/>
      <c r="L99" s="10"/>
      <c r="M99" s="51"/>
    </row>
    <row r="100" spans="1:13" x14ac:dyDescent="0.2">
      <c r="A100"/>
      <c r="B100"/>
      <c r="C100"/>
      <c r="D100"/>
      <c r="E100" s="7"/>
      <c r="F100"/>
      <c r="G100"/>
      <c r="H100" s="10"/>
      <c r="I100" s="10"/>
      <c r="J100" s="10"/>
      <c r="K100" s="10"/>
      <c r="L100" s="10"/>
      <c r="M100" s="51"/>
    </row>
    <row r="101" spans="1:13" x14ac:dyDescent="0.2">
      <c r="A101"/>
      <c r="B101"/>
      <c r="C101"/>
      <c r="D101"/>
      <c r="E101" s="7"/>
      <c r="F101"/>
      <c r="G101"/>
      <c r="H101" s="10"/>
      <c r="I101" s="10"/>
      <c r="J101" s="10"/>
      <c r="K101" s="10"/>
      <c r="L101" s="10"/>
      <c r="M101" s="51"/>
    </row>
    <row r="102" spans="1:13" x14ac:dyDescent="0.2">
      <c r="A102"/>
      <c r="B102"/>
      <c r="C102"/>
      <c r="D102"/>
      <c r="E102" s="7"/>
      <c r="F102"/>
      <c r="G102"/>
      <c r="H102" s="10"/>
      <c r="I102" s="10"/>
      <c r="J102" s="10"/>
      <c r="K102" s="10"/>
      <c r="L102" s="10"/>
      <c r="M102" s="51"/>
    </row>
    <row r="103" spans="1:13" x14ac:dyDescent="0.2">
      <c r="A103"/>
      <c r="B103"/>
      <c r="C103"/>
      <c r="D103"/>
      <c r="E103" s="7"/>
      <c r="F103"/>
      <c r="G103"/>
      <c r="H103" s="10"/>
      <c r="I103" s="10"/>
      <c r="J103" s="10"/>
      <c r="K103" s="10"/>
      <c r="L103" s="10"/>
      <c r="M103" s="51"/>
    </row>
    <row r="104" spans="1:13" x14ac:dyDescent="0.2">
      <c r="A104"/>
      <c r="B104"/>
      <c r="C104"/>
      <c r="D104"/>
      <c r="E104" s="7"/>
      <c r="F104"/>
      <c r="G104"/>
      <c r="H104" s="10"/>
      <c r="I104" s="10"/>
      <c r="J104" s="10"/>
      <c r="K104" s="10"/>
      <c r="L104" s="10"/>
      <c r="M104" s="51"/>
    </row>
    <row r="105" spans="1:13" x14ac:dyDescent="0.2">
      <c r="A105"/>
      <c r="B105"/>
      <c r="C105"/>
      <c r="D105"/>
      <c r="E105" s="7"/>
      <c r="F105"/>
      <c r="G105"/>
      <c r="H105" s="10"/>
      <c r="I105" s="10"/>
      <c r="J105" s="10"/>
      <c r="K105" s="10"/>
      <c r="L105" s="10"/>
      <c r="M105" s="51"/>
    </row>
    <row r="106" spans="1:13" x14ac:dyDescent="0.2">
      <c r="A106"/>
      <c r="B106"/>
      <c r="C106"/>
      <c r="D106"/>
      <c r="E106" s="7"/>
      <c r="F106"/>
      <c r="G106"/>
      <c r="H106" s="10"/>
      <c r="I106" s="10"/>
      <c r="J106" s="10"/>
      <c r="K106" s="10"/>
      <c r="L106" s="10"/>
      <c r="M106" s="51"/>
    </row>
    <row r="107" spans="1:13" x14ac:dyDescent="0.2">
      <c r="A107"/>
      <c r="B107"/>
      <c r="C107"/>
      <c r="D107"/>
      <c r="E107" s="7"/>
      <c r="F107"/>
      <c r="G107"/>
      <c r="H107" s="10"/>
      <c r="I107" s="10"/>
      <c r="J107" s="10"/>
      <c r="K107" s="10"/>
      <c r="L107" s="10"/>
      <c r="M107" s="51"/>
    </row>
    <row r="108" spans="1:13" x14ac:dyDescent="0.2">
      <c r="A108"/>
      <c r="B108"/>
      <c r="C108"/>
      <c r="D108"/>
      <c r="E108" s="7"/>
      <c r="F108"/>
      <c r="G108"/>
      <c r="H108" s="10"/>
      <c r="I108" s="10"/>
      <c r="J108" s="10"/>
      <c r="K108" s="10"/>
      <c r="L108" s="10"/>
      <c r="M108" s="51"/>
    </row>
    <row r="109" spans="1:13" x14ac:dyDescent="0.2">
      <c r="A109"/>
      <c r="B109"/>
      <c r="C109"/>
      <c r="D109"/>
      <c r="E109" s="7"/>
      <c r="F109"/>
      <c r="G109"/>
      <c r="H109" s="10"/>
      <c r="I109" s="10"/>
      <c r="J109" s="10"/>
      <c r="K109" s="10"/>
      <c r="L109" s="10"/>
      <c r="M109" s="51"/>
    </row>
    <row r="110" spans="1:13" x14ac:dyDescent="0.2">
      <c r="A110"/>
      <c r="B110"/>
      <c r="C110"/>
      <c r="D110"/>
      <c r="E110" s="7"/>
      <c r="F110"/>
      <c r="G110"/>
      <c r="H110" s="10"/>
      <c r="I110" s="10"/>
      <c r="J110" s="10"/>
      <c r="K110" s="10"/>
      <c r="L110" s="10"/>
      <c r="M110" s="51"/>
    </row>
    <row r="111" spans="1:13" x14ac:dyDescent="0.2">
      <c r="A111"/>
      <c r="B111"/>
      <c r="C111"/>
      <c r="D111"/>
      <c r="E111" s="7"/>
      <c r="F111"/>
      <c r="G111"/>
      <c r="H111" s="10"/>
      <c r="I111" s="10"/>
      <c r="J111" s="10"/>
      <c r="K111" s="10"/>
      <c r="L111" s="10"/>
      <c r="M111" s="51"/>
    </row>
    <row r="112" spans="1:13" x14ac:dyDescent="0.2">
      <c r="A112"/>
      <c r="B112"/>
      <c r="C112"/>
      <c r="D112"/>
      <c r="E112" s="7"/>
      <c r="F112"/>
      <c r="G112"/>
      <c r="H112" s="10"/>
      <c r="I112" s="10"/>
      <c r="J112" s="10"/>
      <c r="K112" s="10"/>
      <c r="L112" s="10"/>
      <c r="M112" s="51"/>
    </row>
    <row r="113" spans="1:13" x14ac:dyDescent="0.2">
      <c r="A113"/>
      <c r="B113"/>
      <c r="C113"/>
      <c r="D113"/>
      <c r="E113" s="7"/>
      <c r="F113"/>
      <c r="G113"/>
      <c r="H113" s="10"/>
      <c r="I113" s="10"/>
      <c r="J113" s="10"/>
      <c r="K113" s="10"/>
      <c r="L113" s="10"/>
      <c r="M113" s="51"/>
    </row>
    <row r="114" spans="1:13" x14ac:dyDescent="0.2">
      <c r="A114"/>
      <c r="B114"/>
      <c r="C114"/>
      <c r="D114"/>
      <c r="E114" s="7"/>
      <c r="F114"/>
      <c r="G114"/>
      <c r="H114" s="10"/>
      <c r="I114" s="10"/>
      <c r="J114" s="10"/>
      <c r="K114" s="10"/>
      <c r="L114" s="10"/>
      <c r="M114" s="51"/>
    </row>
    <row r="115" spans="1:13" x14ac:dyDescent="0.2">
      <c r="A115"/>
      <c r="B115"/>
      <c r="C115"/>
      <c r="D115"/>
      <c r="E115" s="7"/>
      <c r="F115"/>
      <c r="G115"/>
      <c r="H115" s="10"/>
      <c r="I115" s="10"/>
      <c r="J115" s="10"/>
      <c r="K115" s="10"/>
      <c r="L115" s="10"/>
      <c r="M115" s="51"/>
    </row>
    <row r="116" spans="1:13" x14ac:dyDescent="0.2">
      <c r="A116"/>
      <c r="B116"/>
      <c r="C116"/>
      <c r="D116"/>
      <c r="E116" s="7"/>
      <c r="F116"/>
      <c r="G116"/>
      <c r="H116" s="10"/>
      <c r="I116" s="10"/>
      <c r="J116" s="10"/>
      <c r="K116" s="10"/>
      <c r="L116" s="10"/>
      <c r="M116" s="51"/>
    </row>
    <row r="117" spans="1:13" x14ac:dyDescent="0.2">
      <c r="A117"/>
      <c r="B117"/>
      <c r="C117"/>
      <c r="D117"/>
      <c r="E117" s="7"/>
      <c r="F117"/>
      <c r="G117"/>
      <c r="H117" s="10"/>
      <c r="I117" s="10"/>
      <c r="J117" s="10"/>
      <c r="K117" s="10"/>
      <c r="L117" s="10"/>
      <c r="M117" s="51"/>
    </row>
    <row r="118" spans="1:13" x14ac:dyDescent="0.2">
      <c r="A118"/>
      <c r="B118"/>
      <c r="C118"/>
      <c r="D118"/>
      <c r="E118" s="7"/>
      <c r="F118"/>
      <c r="G118"/>
      <c r="H118" s="10"/>
      <c r="I118" s="10"/>
      <c r="J118" s="10"/>
      <c r="K118" s="10"/>
      <c r="L118" s="10"/>
      <c r="M118" s="51"/>
    </row>
    <row r="119" spans="1:13" x14ac:dyDescent="0.2">
      <c r="A119"/>
      <c r="B119"/>
      <c r="C119"/>
      <c r="D119"/>
      <c r="E119" s="7"/>
      <c r="F119"/>
      <c r="G119"/>
      <c r="H119" s="10"/>
      <c r="I119" s="10"/>
      <c r="J119" s="10"/>
      <c r="K119" s="10"/>
      <c r="L119" s="10"/>
      <c r="M119" s="51"/>
    </row>
    <row r="120" spans="1:13" x14ac:dyDescent="0.2">
      <c r="A120"/>
      <c r="B120"/>
      <c r="C120"/>
      <c r="D120"/>
      <c r="E120" s="7"/>
      <c r="F120"/>
      <c r="G120"/>
      <c r="H120" s="10"/>
      <c r="I120" s="10"/>
      <c r="J120" s="10"/>
      <c r="K120" s="10"/>
      <c r="L120" s="10"/>
      <c r="M120" s="51"/>
    </row>
    <row r="121" spans="1:13" x14ac:dyDescent="0.2">
      <c r="A121"/>
      <c r="B121"/>
      <c r="C121"/>
      <c r="D121"/>
      <c r="E121" s="7"/>
      <c r="F121"/>
      <c r="G121"/>
      <c r="H121" s="10"/>
      <c r="I121" s="10"/>
      <c r="J121" s="10"/>
      <c r="K121" s="10"/>
      <c r="L121" s="10"/>
      <c r="M121" s="51"/>
    </row>
    <row r="122" spans="1:13" x14ac:dyDescent="0.2">
      <c r="A122"/>
      <c r="B122"/>
      <c r="C122"/>
      <c r="D122"/>
      <c r="E122" s="7"/>
      <c r="F122"/>
      <c r="G122"/>
      <c r="H122" s="10"/>
      <c r="I122" s="10"/>
      <c r="J122" s="10"/>
      <c r="K122" s="10"/>
      <c r="L122" s="10"/>
      <c r="M122" s="51"/>
    </row>
    <row r="123" spans="1:13" x14ac:dyDescent="0.2">
      <c r="A123"/>
      <c r="B123"/>
      <c r="C123"/>
      <c r="D123"/>
      <c r="E123" s="7"/>
      <c r="F123"/>
      <c r="G123"/>
      <c r="H123" s="10"/>
      <c r="I123" s="10"/>
      <c r="J123" s="10"/>
      <c r="K123" s="10"/>
      <c r="L123" s="10"/>
      <c r="M123" s="51"/>
    </row>
    <row r="124" spans="1:13" x14ac:dyDescent="0.2">
      <c r="A124"/>
      <c r="B124"/>
      <c r="C124"/>
      <c r="D124"/>
      <c r="E124" s="7"/>
      <c r="F124"/>
      <c r="G124"/>
      <c r="H124" s="10"/>
      <c r="I124" s="10"/>
      <c r="J124" s="10"/>
      <c r="K124" s="10"/>
      <c r="L124" s="10"/>
      <c r="M124" s="51"/>
    </row>
    <row r="125" spans="1:13" x14ac:dyDescent="0.2">
      <c r="A125"/>
      <c r="B125"/>
      <c r="C125"/>
      <c r="D125"/>
      <c r="E125" s="7"/>
      <c r="F125"/>
      <c r="G125"/>
      <c r="H125" s="10"/>
      <c r="I125" s="10"/>
      <c r="J125" s="10"/>
      <c r="K125" s="10"/>
      <c r="L125" s="10"/>
      <c r="M125" s="51"/>
    </row>
    <row r="126" spans="1:13" x14ac:dyDescent="0.2">
      <c r="A126"/>
      <c r="B126"/>
      <c r="C126"/>
      <c r="D126"/>
      <c r="E126" s="7"/>
      <c r="F126"/>
      <c r="G126"/>
      <c r="H126" s="10"/>
      <c r="I126" s="10"/>
      <c r="J126" s="10"/>
      <c r="K126" s="10"/>
      <c r="L126" s="10"/>
      <c r="M126" s="51"/>
    </row>
    <row r="127" spans="1:13" x14ac:dyDescent="0.2">
      <c r="A127"/>
      <c r="B127"/>
      <c r="C127"/>
      <c r="D127"/>
      <c r="E127" s="7"/>
      <c r="F127"/>
      <c r="G127"/>
      <c r="H127" s="10"/>
      <c r="I127" s="10"/>
      <c r="J127" s="10"/>
      <c r="K127" s="10"/>
      <c r="L127" s="10"/>
      <c r="M127" s="51"/>
    </row>
    <row r="128" spans="1:13" x14ac:dyDescent="0.2">
      <c r="A128"/>
      <c r="B128"/>
      <c r="C128"/>
      <c r="D128"/>
      <c r="E128" s="7"/>
      <c r="F128"/>
      <c r="G128"/>
      <c r="H128" s="10"/>
      <c r="I128" s="10"/>
      <c r="J128" s="10"/>
      <c r="K128" s="10"/>
      <c r="L128" s="10"/>
      <c r="M128" s="51"/>
    </row>
    <row r="129" spans="1:13" x14ac:dyDescent="0.2">
      <c r="A129"/>
      <c r="B129"/>
      <c r="C129"/>
      <c r="D129"/>
      <c r="E129" s="7"/>
      <c r="F129"/>
      <c r="G129"/>
      <c r="H129" s="10"/>
      <c r="I129" s="10"/>
      <c r="J129" s="10"/>
      <c r="K129" s="10"/>
      <c r="L129" s="10"/>
      <c r="M129" s="51"/>
    </row>
    <row r="130" spans="1:13" x14ac:dyDescent="0.2">
      <c r="A130"/>
      <c r="B130"/>
      <c r="C130"/>
      <c r="D130"/>
      <c r="E130" s="7"/>
      <c r="F130"/>
      <c r="G130"/>
      <c r="H130" s="10"/>
      <c r="I130" s="10"/>
      <c r="J130" s="10"/>
      <c r="K130" s="10"/>
      <c r="L130" s="10"/>
      <c r="M130" s="51"/>
    </row>
    <row r="131" spans="1:13" x14ac:dyDescent="0.2">
      <c r="A131"/>
      <c r="B131"/>
      <c r="C131"/>
      <c r="D131"/>
      <c r="E131" s="7"/>
      <c r="F131"/>
      <c r="G131"/>
      <c r="H131" s="10"/>
      <c r="I131" s="10"/>
      <c r="J131" s="10"/>
      <c r="K131" s="10"/>
      <c r="L131" s="10"/>
      <c r="M131" s="51"/>
    </row>
    <row r="132" spans="1:13" x14ac:dyDescent="0.2">
      <c r="A132"/>
      <c r="B132"/>
      <c r="C132"/>
      <c r="D132"/>
      <c r="E132" s="7"/>
      <c r="F132"/>
      <c r="G132"/>
      <c r="H132" s="10"/>
      <c r="I132" s="10"/>
      <c r="J132" s="10"/>
      <c r="K132" s="10"/>
      <c r="L132" s="10"/>
      <c r="M132" s="51"/>
    </row>
    <row r="133" spans="1:13" x14ac:dyDescent="0.2">
      <c r="A133"/>
      <c r="B133"/>
      <c r="C133"/>
      <c r="D133"/>
      <c r="E133" s="7"/>
      <c r="F133"/>
      <c r="G133"/>
      <c r="H133" s="10"/>
      <c r="I133" s="10"/>
      <c r="J133" s="10"/>
      <c r="K133" s="10"/>
      <c r="L133" s="10"/>
      <c r="M133" s="51"/>
    </row>
    <row r="134" spans="1:13" x14ac:dyDescent="0.2">
      <c r="A134"/>
      <c r="B134"/>
      <c r="C134"/>
      <c r="D134"/>
      <c r="E134" s="7"/>
      <c r="F134"/>
      <c r="G134"/>
      <c r="H134" s="10"/>
      <c r="I134" s="10"/>
      <c r="J134" s="10"/>
      <c r="K134" s="10"/>
      <c r="L134" s="10"/>
      <c r="M134" s="51"/>
    </row>
    <row r="135" spans="1:13" x14ac:dyDescent="0.2">
      <c r="A135"/>
      <c r="B135"/>
      <c r="C135"/>
      <c r="D135"/>
      <c r="E135" s="7"/>
      <c r="F135"/>
      <c r="G135"/>
      <c r="H135" s="10"/>
      <c r="I135" s="10"/>
      <c r="J135" s="10"/>
      <c r="K135" s="10"/>
      <c r="L135" s="10"/>
      <c r="M135" s="51"/>
    </row>
    <row r="136" spans="1:13" x14ac:dyDescent="0.2">
      <c r="A136"/>
      <c r="B136"/>
      <c r="C136"/>
      <c r="D136"/>
      <c r="E136" s="7"/>
      <c r="F136"/>
      <c r="G136"/>
      <c r="H136" s="10"/>
      <c r="I136" s="10"/>
      <c r="J136" s="10"/>
      <c r="K136" s="10"/>
      <c r="L136" s="10"/>
      <c r="M136" s="51"/>
    </row>
    <row r="137" spans="1:13" x14ac:dyDescent="0.2">
      <c r="A137"/>
      <c r="B137"/>
      <c r="C137"/>
      <c r="D137"/>
      <c r="E137" s="7"/>
      <c r="F137"/>
      <c r="G137"/>
      <c r="H137" s="10"/>
      <c r="I137" s="10"/>
      <c r="J137" s="10"/>
      <c r="K137" s="10"/>
      <c r="L137" s="10"/>
      <c r="M137" s="51"/>
    </row>
    <row r="138" spans="1:13" x14ac:dyDescent="0.2">
      <c r="A138"/>
      <c r="B138"/>
      <c r="C138"/>
      <c r="D138"/>
      <c r="E138" s="7"/>
      <c r="F138"/>
      <c r="G138"/>
      <c r="H138" s="10"/>
      <c r="I138" s="10"/>
      <c r="J138" s="10"/>
      <c r="K138" s="10"/>
      <c r="L138" s="10"/>
      <c r="M138" s="51"/>
    </row>
    <row r="139" spans="1:13" x14ac:dyDescent="0.2">
      <c r="A139"/>
      <c r="B139"/>
      <c r="C139"/>
      <c r="D139"/>
      <c r="E139" s="7"/>
      <c r="F139"/>
      <c r="G139"/>
      <c r="H139" s="10"/>
      <c r="I139" s="10"/>
      <c r="J139" s="10"/>
      <c r="K139" s="10"/>
      <c r="L139" s="10"/>
      <c r="M139" s="51"/>
    </row>
    <row r="140" spans="1:13" x14ac:dyDescent="0.2">
      <c r="A140"/>
      <c r="B140"/>
      <c r="C140"/>
      <c r="D140"/>
      <c r="E140" s="7"/>
      <c r="F140"/>
      <c r="G140"/>
      <c r="H140" s="10"/>
      <c r="I140" s="10"/>
      <c r="J140" s="10"/>
      <c r="K140" s="10"/>
      <c r="L140" s="10"/>
      <c r="M140" s="51"/>
    </row>
    <row r="141" spans="1:13" x14ac:dyDescent="0.2">
      <c r="A141"/>
      <c r="B141"/>
      <c r="C141"/>
      <c r="D141"/>
      <c r="E141" s="7"/>
      <c r="F141"/>
      <c r="G141"/>
      <c r="H141" s="10"/>
      <c r="I141" s="10"/>
      <c r="J141" s="10"/>
      <c r="K141" s="10"/>
      <c r="L141" s="10"/>
      <c r="M141" s="51"/>
    </row>
    <row r="142" spans="1:13" x14ac:dyDescent="0.2">
      <c r="A142"/>
      <c r="B142"/>
      <c r="C142"/>
      <c r="D142"/>
      <c r="E142" s="7"/>
      <c r="F142"/>
      <c r="G142"/>
      <c r="H142" s="10"/>
      <c r="I142" s="10"/>
      <c r="J142" s="10"/>
      <c r="K142" s="10"/>
      <c r="L142" s="10"/>
      <c r="M142" s="51"/>
    </row>
    <row r="143" spans="1:13" x14ac:dyDescent="0.2">
      <c r="A143"/>
      <c r="B143"/>
      <c r="C143"/>
      <c r="D143"/>
      <c r="E143" s="7"/>
      <c r="F143"/>
      <c r="G143"/>
      <c r="H143" s="10"/>
      <c r="I143" s="10"/>
      <c r="J143" s="10"/>
      <c r="K143" s="10"/>
      <c r="L143" s="10"/>
      <c r="M143" s="51"/>
    </row>
    <row r="144" spans="1:13" x14ac:dyDescent="0.2">
      <c r="A144"/>
      <c r="B144"/>
      <c r="C144"/>
      <c r="D144"/>
      <c r="E144" s="7"/>
      <c r="F144"/>
      <c r="G144"/>
      <c r="H144" s="10"/>
      <c r="I144" s="10"/>
      <c r="J144" s="10"/>
      <c r="K144" s="10"/>
      <c r="L144" s="10"/>
      <c r="M144" s="51"/>
    </row>
    <row r="145" spans="1:13" x14ac:dyDescent="0.2">
      <c r="A145"/>
      <c r="B145"/>
      <c r="C145"/>
      <c r="D145"/>
      <c r="E145" s="7"/>
      <c r="F145"/>
      <c r="G145"/>
      <c r="H145" s="10"/>
      <c r="I145" s="10"/>
      <c r="J145" s="10"/>
      <c r="K145" s="10"/>
      <c r="L145" s="10"/>
      <c r="M145" s="51"/>
    </row>
    <row r="146" spans="1:13" x14ac:dyDescent="0.2">
      <c r="A146"/>
      <c r="B146"/>
      <c r="C146"/>
      <c r="D146"/>
      <c r="E146" s="7"/>
      <c r="F146"/>
      <c r="G146"/>
      <c r="H146" s="10"/>
      <c r="I146" s="10"/>
      <c r="J146" s="10"/>
      <c r="K146" s="10"/>
      <c r="L146" s="10"/>
      <c r="M146" s="51"/>
    </row>
    <row r="147" spans="1:13" x14ac:dyDescent="0.2">
      <c r="A147"/>
      <c r="B147"/>
      <c r="C147"/>
      <c r="D147"/>
      <c r="E147" s="7"/>
      <c r="F147"/>
      <c r="G147"/>
      <c r="H147" s="10"/>
      <c r="I147" s="10"/>
      <c r="J147" s="10"/>
      <c r="K147" s="10"/>
      <c r="L147" s="10"/>
      <c r="M147" s="51"/>
    </row>
    <row r="148" spans="1:13" x14ac:dyDescent="0.2">
      <c r="A148"/>
      <c r="B148"/>
      <c r="C148"/>
      <c r="D148"/>
      <c r="E148" s="7"/>
      <c r="F148"/>
      <c r="G148"/>
      <c r="H148" s="10"/>
      <c r="I148" s="10"/>
      <c r="J148" s="10"/>
      <c r="K148" s="10"/>
      <c r="L148" s="10"/>
      <c r="M148" s="51"/>
    </row>
    <row r="149" spans="1:13" x14ac:dyDescent="0.2">
      <c r="A149"/>
      <c r="B149"/>
      <c r="C149"/>
      <c r="D149"/>
      <c r="E149" s="7"/>
      <c r="F149"/>
      <c r="G149"/>
      <c r="H149" s="10"/>
      <c r="I149" s="10"/>
      <c r="J149" s="10"/>
      <c r="K149" s="10"/>
      <c r="L149" s="10"/>
      <c r="M149" s="51"/>
    </row>
    <row r="150" spans="1:13" x14ac:dyDescent="0.2">
      <c r="A150"/>
      <c r="B150"/>
      <c r="C150"/>
      <c r="D150"/>
      <c r="E150" s="7"/>
      <c r="F150"/>
      <c r="G150"/>
      <c r="H150" s="10"/>
      <c r="I150" s="10"/>
      <c r="J150" s="10"/>
      <c r="K150" s="10"/>
      <c r="L150" s="10"/>
      <c r="M150" s="51"/>
    </row>
    <row r="151" spans="1:13" x14ac:dyDescent="0.2">
      <c r="A151"/>
      <c r="B151"/>
      <c r="C151"/>
      <c r="D151"/>
      <c r="E151" s="7"/>
      <c r="F151"/>
      <c r="G151"/>
      <c r="H151" s="10"/>
      <c r="I151" s="10"/>
      <c r="J151" s="10"/>
      <c r="K151" s="10"/>
      <c r="L151" s="10"/>
      <c r="M151" s="51"/>
    </row>
    <row r="152" spans="1:13" x14ac:dyDescent="0.2">
      <c r="A152"/>
      <c r="B152"/>
      <c r="C152"/>
      <c r="D152"/>
      <c r="E152" s="7"/>
      <c r="F152"/>
      <c r="G152"/>
      <c r="H152" s="10"/>
      <c r="I152" s="10"/>
      <c r="J152" s="10"/>
      <c r="K152" s="10"/>
      <c r="L152" s="10"/>
      <c r="M152" s="51"/>
    </row>
    <row r="153" spans="1:13" x14ac:dyDescent="0.2">
      <c r="A153"/>
      <c r="B153"/>
      <c r="C153"/>
      <c r="D153"/>
      <c r="E153" s="7"/>
      <c r="F153"/>
      <c r="G153"/>
      <c r="H153" s="10"/>
      <c r="I153" s="10"/>
      <c r="J153" s="10"/>
      <c r="K153" s="10"/>
      <c r="L153" s="10"/>
      <c r="M153" s="51"/>
    </row>
    <row r="154" spans="1:13" x14ac:dyDescent="0.2">
      <c r="A154"/>
      <c r="B154"/>
      <c r="C154"/>
      <c r="D154"/>
      <c r="E154" s="7"/>
      <c r="F154"/>
      <c r="G154"/>
      <c r="H154" s="10"/>
      <c r="I154" s="10"/>
      <c r="J154" s="10"/>
      <c r="K154" s="10"/>
      <c r="L154" s="10"/>
      <c r="M154" s="51"/>
    </row>
    <row r="155" spans="1:13" x14ac:dyDescent="0.2">
      <c r="A155"/>
      <c r="B155"/>
      <c r="C155"/>
      <c r="D155"/>
      <c r="E155" s="7"/>
      <c r="F155"/>
      <c r="G155"/>
      <c r="H155" s="10"/>
      <c r="I155" s="10"/>
      <c r="J155" s="10"/>
      <c r="K155" s="10"/>
      <c r="L155" s="10"/>
      <c r="M155" s="51"/>
    </row>
    <row r="156" spans="1:13" x14ac:dyDescent="0.2">
      <c r="A156"/>
      <c r="B156"/>
      <c r="C156"/>
      <c r="D156"/>
      <c r="E156" s="7"/>
      <c r="F156"/>
      <c r="G156"/>
      <c r="H156" s="10"/>
      <c r="I156" s="10"/>
      <c r="J156" s="10"/>
      <c r="K156" s="10"/>
      <c r="L156" s="10"/>
      <c r="M156" s="51"/>
    </row>
    <row r="157" spans="1:13" x14ac:dyDescent="0.2">
      <c r="A157"/>
      <c r="B157"/>
      <c r="C157"/>
      <c r="D157"/>
      <c r="E157" s="7"/>
      <c r="F157"/>
      <c r="G157"/>
      <c r="H157" s="10"/>
      <c r="I157" s="10"/>
      <c r="J157" s="10"/>
      <c r="K157" s="10"/>
      <c r="L157" s="10"/>
      <c r="M157" s="51"/>
    </row>
    <row r="158" spans="1:13" x14ac:dyDescent="0.2">
      <c r="A158"/>
      <c r="B158"/>
      <c r="C158"/>
      <c r="D158"/>
      <c r="E158" s="7"/>
      <c r="F158"/>
      <c r="G158"/>
      <c r="H158" s="10"/>
      <c r="I158" s="10"/>
      <c r="J158" s="10"/>
      <c r="K158" s="10"/>
      <c r="L158" s="10"/>
      <c r="M158" s="51"/>
    </row>
    <row r="159" spans="1:13" x14ac:dyDescent="0.2">
      <c r="A159"/>
      <c r="B159"/>
      <c r="C159"/>
      <c r="D159"/>
      <c r="E159" s="7"/>
      <c r="F159"/>
      <c r="G159"/>
      <c r="H159" s="10"/>
      <c r="I159" s="10"/>
      <c r="J159" s="10"/>
      <c r="K159" s="10"/>
      <c r="L159" s="10"/>
      <c r="M159" s="51"/>
    </row>
    <row r="160" spans="1:13" x14ac:dyDescent="0.2">
      <c r="A160"/>
      <c r="B160"/>
      <c r="C160"/>
      <c r="D160"/>
      <c r="E160" s="7"/>
      <c r="F160"/>
      <c r="G160"/>
      <c r="H160" s="10"/>
      <c r="I160" s="10"/>
      <c r="J160" s="10"/>
      <c r="K160" s="10"/>
      <c r="L160" s="10"/>
      <c r="M160" s="51"/>
    </row>
    <row r="161" spans="1:13" x14ac:dyDescent="0.2">
      <c r="A161"/>
      <c r="B161"/>
      <c r="C161"/>
      <c r="D161"/>
      <c r="E161" s="7"/>
      <c r="F161"/>
      <c r="G161"/>
      <c r="H161" s="10"/>
      <c r="I161" s="10"/>
      <c r="J161" s="10"/>
      <c r="K161" s="10"/>
      <c r="L161" s="10"/>
      <c r="M161" s="51"/>
    </row>
    <row r="162" spans="1:13" x14ac:dyDescent="0.2">
      <c r="A162"/>
      <c r="B162"/>
      <c r="C162"/>
      <c r="D162"/>
      <c r="E162" s="7"/>
      <c r="F162"/>
      <c r="G162"/>
      <c r="H162" s="10"/>
      <c r="I162" s="10"/>
      <c r="J162" s="10"/>
      <c r="K162" s="10"/>
      <c r="L162" s="10"/>
      <c r="M162" s="51"/>
    </row>
    <row r="163" spans="1:13" x14ac:dyDescent="0.2">
      <c r="A163"/>
      <c r="B163"/>
      <c r="C163"/>
      <c r="D163"/>
      <c r="E163" s="7"/>
      <c r="F163"/>
      <c r="G163"/>
      <c r="H163" s="10"/>
      <c r="I163" s="10"/>
      <c r="J163" s="10"/>
      <c r="K163" s="10"/>
      <c r="L163" s="10"/>
      <c r="M163" s="51"/>
    </row>
    <row r="164" spans="1:13" x14ac:dyDescent="0.2">
      <c r="A164"/>
      <c r="B164"/>
      <c r="C164"/>
      <c r="D164"/>
      <c r="E164" s="7"/>
      <c r="F164"/>
      <c r="G164"/>
      <c r="H164" s="10"/>
      <c r="I164" s="10"/>
      <c r="J164" s="10"/>
      <c r="K164" s="10"/>
      <c r="L164" s="10"/>
      <c r="M164" s="51"/>
    </row>
    <row r="165" spans="1:13" x14ac:dyDescent="0.2">
      <c r="A165"/>
      <c r="B165"/>
      <c r="C165"/>
      <c r="D165"/>
      <c r="E165" s="7"/>
      <c r="F165"/>
      <c r="G165"/>
      <c r="H165" s="10"/>
      <c r="I165" s="10"/>
      <c r="J165" s="10"/>
      <c r="K165" s="10"/>
      <c r="L165" s="10"/>
      <c r="M165" s="51"/>
    </row>
    <row r="166" spans="1:13" x14ac:dyDescent="0.2">
      <c r="A166"/>
      <c r="B166"/>
      <c r="C166"/>
      <c r="D166"/>
      <c r="E166" s="7"/>
      <c r="F166"/>
      <c r="G166"/>
      <c r="H166" s="10"/>
      <c r="I166" s="10"/>
      <c r="J166" s="10"/>
      <c r="K166" s="10"/>
      <c r="L166" s="10"/>
      <c r="M166" s="51"/>
    </row>
    <row r="167" spans="1:13" x14ac:dyDescent="0.2">
      <c r="A167"/>
      <c r="B167"/>
      <c r="C167"/>
      <c r="D167"/>
      <c r="E167" s="7"/>
      <c r="F167"/>
      <c r="G167"/>
      <c r="H167" s="10"/>
      <c r="I167" s="10"/>
      <c r="J167" s="10"/>
      <c r="K167" s="10"/>
      <c r="L167" s="10"/>
      <c r="M167" s="51"/>
    </row>
    <row r="168" spans="1:13" x14ac:dyDescent="0.2">
      <c r="A168"/>
      <c r="B168"/>
      <c r="C168"/>
      <c r="D168"/>
      <c r="E168" s="7"/>
      <c r="F168"/>
      <c r="G168"/>
      <c r="H168" s="10"/>
      <c r="I168" s="10"/>
      <c r="J168" s="10"/>
      <c r="K168" s="10"/>
      <c r="L168" s="10"/>
      <c r="M168" s="51"/>
    </row>
    <row r="169" spans="1:13" x14ac:dyDescent="0.2">
      <c r="A169"/>
      <c r="B169"/>
      <c r="C169"/>
      <c r="D169"/>
      <c r="E169" s="7"/>
      <c r="F169"/>
      <c r="G169"/>
      <c r="H169" s="10"/>
      <c r="I169" s="10"/>
      <c r="J169" s="10"/>
      <c r="K169" s="10"/>
      <c r="L169" s="10"/>
      <c r="M169" s="51"/>
    </row>
    <row r="170" spans="1:13" x14ac:dyDescent="0.2">
      <c r="A170"/>
      <c r="B170"/>
      <c r="C170"/>
      <c r="D170"/>
      <c r="E170" s="7"/>
      <c r="F170"/>
      <c r="G170"/>
      <c r="H170" s="10"/>
      <c r="I170" s="10"/>
      <c r="J170" s="10"/>
      <c r="K170" s="10"/>
      <c r="L170" s="10"/>
      <c r="M170" s="51"/>
    </row>
    <row r="171" spans="1:13" x14ac:dyDescent="0.2">
      <c r="A171"/>
      <c r="B171"/>
      <c r="C171"/>
      <c r="D171"/>
      <c r="E171" s="7"/>
      <c r="F171"/>
      <c r="G171"/>
      <c r="H171" s="10"/>
      <c r="I171" s="10"/>
      <c r="J171" s="10"/>
      <c r="K171" s="10"/>
      <c r="L171" s="10"/>
      <c r="M171" s="51"/>
    </row>
    <row r="172" spans="1:13" x14ac:dyDescent="0.2">
      <c r="A172"/>
      <c r="B172"/>
      <c r="C172"/>
      <c r="D172"/>
      <c r="E172" s="7"/>
      <c r="F172"/>
      <c r="G172"/>
      <c r="H172" s="10"/>
      <c r="I172" s="10"/>
      <c r="J172" s="10"/>
      <c r="K172" s="10"/>
      <c r="L172" s="10"/>
      <c r="M172" s="51"/>
    </row>
    <row r="173" spans="1:13" x14ac:dyDescent="0.2">
      <c r="A173"/>
      <c r="B173"/>
      <c r="C173"/>
      <c r="D173"/>
      <c r="E173" s="7"/>
      <c r="F173"/>
      <c r="G173"/>
      <c r="H173" s="10"/>
      <c r="I173" s="10"/>
      <c r="J173" s="10"/>
      <c r="K173" s="10"/>
      <c r="L173" s="10"/>
      <c r="M173" s="51"/>
    </row>
    <row r="174" spans="1:13" x14ac:dyDescent="0.2">
      <c r="A174"/>
      <c r="B174"/>
      <c r="C174"/>
      <c r="D174"/>
      <c r="E174" s="7"/>
      <c r="F174"/>
      <c r="G174"/>
      <c r="H174" s="10"/>
      <c r="I174" s="10"/>
      <c r="J174" s="10"/>
      <c r="K174" s="10"/>
      <c r="L174" s="10"/>
      <c r="M174" s="51"/>
    </row>
    <row r="175" spans="1:13" x14ac:dyDescent="0.2">
      <c r="A175"/>
      <c r="B175"/>
      <c r="C175"/>
      <c r="D175"/>
      <c r="E175" s="7"/>
      <c r="F175"/>
      <c r="G175"/>
      <c r="H175" s="10"/>
      <c r="I175" s="10"/>
      <c r="J175" s="10"/>
      <c r="K175" s="10"/>
      <c r="L175" s="10"/>
      <c r="M175" s="51"/>
    </row>
    <row r="176" spans="1:13" x14ac:dyDescent="0.2">
      <c r="A176"/>
      <c r="B176"/>
      <c r="C176"/>
      <c r="D176"/>
      <c r="E176" s="7"/>
      <c r="F176"/>
      <c r="G176"/>
      <c r="H176" s="10"/>
      <c r="I176" s="10"/>
      <c r="J176" s="10"/>
      <c r="K176" s="10"/>
      <c r="L176" s="10"/>
      <c r="M176" s="51"/>
    </row>
    <row r="177" spans="1:13" x14ac:dyDescent="0.2">
      <c r="A177"/>
      <c r="B177"/>
      <c r="C177"/>
      <c r="D177"/>
      <c r="E177" s="7"/>
      <c r="F177"/>
      <c r="G177"/>
      <c r="H177" s="10"/>
      <c r="I177" s="10"/>
      <c r="J177" s="10"/>
      <c r="K177" s="10"/>
      <c r="L177" s="10"/>
      <c r="M177" s="51"/>
    </row>
    <row r="178" spans="1:13" x14ac:dyDescent="0.2">
      <c r="A178"/>
      <c r="B178"/>
      <c r="C178"/>
      <c r="D178"/>
      <c r="E178" s="7"/>
      <c r="F178"/>
      <c r="G178"/>
      <c r="H178" s="10"/>
      <c r="I178" s="10"/>
      <c r="J178" s="10"/>
      <c r="K178" s="10"/>
      <c r="L178" s="10"/>
      <c r="M178" s="51"/>
    </row>
    <row r="179" spans="1:13" x14ac:dyDescent="0.2">
      <c r="A179"/>
      <c r="B179"/>
      <c r="C179"/>
      <c r="D179"/>
      <c r="E179" s="7"/>
      <c r="F179"/>
      <c r="G179"/>
      <c r="H179" s="10"/>
      <c r="I179" s="10"/>
      <c r="J179" s="10"/>
      <c r="K179" s="10"/>
      <c r="L179" s="10"/>
      <c r="M179" s="51"/>
    </row>
    <row r="180" spans="1:13" x14ac:dyDescent="0.2">
      <c r="A180"/>
      <c r="B180"/>
      <c r="C180"/>
      <c r="D180"/>
      <c r="E180" s="7"/>
      <c r="F180"/>
      <c r="G180"/>
      <c r="H180" s="10"/>
      <c r="I180" s="10"/>
      <c r="J180" s="10"/>
      <c r="K180" s="10"/>
      <c r="L180" s="10"/>
      <c r="M180" s="51"/>
    </row>
    <row r="181" spans="1:13" x14ac:dyDescent="0.2">
      <c r="A181"/>
      <c r="B181"/>
      <c r="C181"/>
      <c r="D181"/>
      <c r="E181" s="7"/>
      <c r="F181"/>
      <c r="G181"/>
      <c r="H181" s="10"/>
      <c r="I181" s="10"/>
      <c r="J181" s="10"/>
      <c r="K181" s="10"/>
      <c r="L181" s="10"/>
      <c r="M181" s="51"/>
    </row>
    <row r="182" spans="1:13" x14ac:dyDescent="0.2">
      <c r="A182"/>
      <c r="B182"/>
      <c r="C182"/>
      <c r="D182"/>
      <c r="E182" s="7"/>
      <c r="F182"/>
      <c r="G182"/>
      <c r="H182" s="10"/>
      <c r="I182" s="10"/>
      <c r="J182" s="10"/>
      <c r="K182" s="10"/>
      <c r="L182" s="10"/>
      <c r="M182" s="51"/>
    </row>
    <row r="183" spans="1:13" x14ac:dyDescent="0.2">
      <c r="A183"/>
      <c r="B183"/>
      <c r="C183"/>
      <c r="D183"/>
      <c r="E183" s="7"/>
      <c r="F183"/>
      <c r="G183"/>
      <c r="H183" s="10"/>
      <c r="I183" s="10"/>
      <c r="J183" s="10"/>
      <c r="K183" s="10"/>
      <c r="L183" s="10"/>
      <c r="M183" s="51"/>
    </row>
    <row r="184" spans="1:13" x14ac:dyDescent="0.2">
      <c r="A184"/>
      <c r="B184"/>
      <c r="C184"/>
      <c r="D184"/>
      <c r="E184" s="7"/>
      <c r="F184"/>
      <c r="G184"/>
      <c r="H184" s="10"/>
      <c r="I184" s="10"/>
      <c r="J184" s="10"/>
      <c r="K184" s="10"/>
      <c r="L184" s="10"/>
      <c r="M184" s="51"/>
    </row>
    <row r="185" spans="1:13" x14ac:dyDescent="0.2">
      <c r="A185"/>
      <c r="B185"/>
      <c r="C185"/>
      <c r="D185"/>
      <c r="E185" s="7"/>
      <c r="F185"/>
      <c r="G185"/>
      <c r="H185" s="10"/>
      <c r="I185" s="10"/>
      <c r="J185" s="10"/>
      <c r="K185" s="10"/>
      <c r="L185" s="10"/>
      <c r="M185" s="51"/>
    </row>
    <row r="186" spans="1:13" x14ac:dyDescent="0.2">
      <c r="A186"/>
      <c r="B186"/>
      <c r="C186"/>
      <c r="D186"/>
      <c r="E186" s="7"/>
      <c r="F186"/>
      <c r="G186"/>
      <c r="H186" s="10"/>
      <c r="I186" s="10"/>
      <c r="J186" s="10"/>
      <c r="K186" s="10"/>
      <c r="L186" s="10"/>
      <c r="M186" s="51"/>
    </row>
    <row r="187" spans="1:13" x14ac:dyDescent="0.2">
      <c r="A187"/>
      <c r="B187"/>
      <c r="C187"/>
      <c r="D187"/>
      <c r="E187" s="7"/>
      <c r="F187"/>
      <c r="G187"/>
      <c r="H187" s="10"/>
      <c r="I187" s="10"/>
      <c r="J187" s="10"/>
      <c r="K187" s="10"/>
      <c r="L187" s="10"/>
      <c r="M187" s="51"/>
    </row>
    <row r="188" spans="1:13" x14ac:dyDescent="0.2">
      <c r="A188"/>
      <c r="B188"/>
      <c r="C188"/>
      <c r="D188"/>
      <c r="E188" s="7"/>
      <c r="F188"/>
      <c r="G188"/>
      <c r="H188" s="10"/>
      <c r="I188" s="10"/>
      <c r="J188" s="10"/>
      <c r="K188" s="10"/>
      <c r="L188" s="10"/>
      <c r="M188" s="51"/>
    </row>
    <row r="189" spans="1:13" x14ac:dyDescent="0.2">
      <c r="A189"/>
      <c r="B189"/>
      <c r="C189"/>
      <c r="D189"/>
      <c r="E189" s="7"/>
      <c r="F189"/>
      <c r="G189"/>
      <c r="H189" s="10"/>
      <c r="I189" s="10"/>
      <c r="J189" s="10"/>
      <c r="K189" s="10"/>
      <c r="L189" s="10"/>
      <c r="M189" s="51"/>
    </row>
    <row r="190" spans="1:13" x14ac:dyDescent="0.2">
      <c r="A190"/>
      <c r="B190"/>
      <c r="C190"/>
      <c r="D190"/>
      <c r="E190" s="7"/>
      <c r="F190"/>
      <c r="G190"/>
      <c r="H190" s="10"/>
      <c r="I190" s="10"/>
      <c r="J190" s="10"/>
      <c r="K190" s="10"/>
      <c r="L190" s="10"/>
      <c r="M190" s="51"/>
    </row>
    <row r="191" spans="1:13" x14ac:dyDescent="0.2">
      <c r="A191"/>
      <c r="B191"/>
      <c r="C191"/>
      <c r="D191"/>
      <c r="E191" s="7"/>
      <c r="F191"/>
      <c r="G191"/>
      <c r="H191" s="10"/>
      <c r="I191" s="10"/>
      <c r="J191" s="10"/>
      <c r="K191" s="10"/>
      <c r="L191" s="10"/>
      <c r="M191" s="51"/>
    </row>
    <row r="192" spans="1:13" x14ac:dyDescent="0.2">
      <c r="A192"/>
      <c r="B192"/>
      <c r="C192"/>
      <c r="D192"/>
      <c r="E192" s="7"/>
      <c r="F192"/>
      <c r="G192"/>
      <c r="H192" s="10"/>
      <c r="I192" s="10"/>
      <c r="J192" s="10"/>
      <c r="K192" s="10"/>
      <c r="L192" s="10"/>
      <c r="M192" s="51"/>
    </row>
    <row r="193" spans="1:13" x14ac:dyDescent="0.2">
      <c r="A193"/>
      <c r="B193"/>
      <c r="C193"/>
      <c r="D193"/>
      <c r="E193" s="7"/>
      <c r="F193"/>
      <c r="G193"/>
      <c r="H193" s="10"/>
      <c r="I193" s="10"/>
      <c r="J193" s="10"/>
      <c r="K193" s="10"/>
      <c r="L193" s="10"/>
      <c r="M193" s="51"/>
    </row>
    <row r="194" spans="1:13" x14ac:dyDescent="0.2">
      <c r="A194"/>
      <c r="B194"/>
      <c r="C194"/>
      <c r="D194"/>
      <c r="E194" s="7"/>
      <c r="F194"/>
      <c r="G194"/>
      <c r="H194" s="10"/>
      <c r="I194" s="10"/>
      <c r="J194" s="10"/>
      <c r="K194" s="10"/>
      <c r="L194" s="10"/>
      <c r="M194" s="51"/>
    </row>
    <row r="195" spans="1:13" x14ac:dyDescent="0.2">
      <c r="A195"/>
      <c r="B195"/>
      <c r="C195"/>
      <c r="D195"/>
      <c r="E195" s="7"/>
      <c r="F195"/>
      <c r="G195"/>
      <c r="H195" s="10"/>
      <c r="I195" s="10"/>
      <c r="J195" s="10"/>
      <c r="K195" s="10"/>
      <c r="L195" s="10"/>
      <c r="M195" s="51"/>
    </row>
    <row r="196" spans="1:13" x14ac:dyDescent="0.2">
      <c r="A196"/>
      <c r="B196"/>
      <c r="C196"/>
      <c r="D196"/>
      <c r="E196" s="7"/>
      <c r="F196"/>
      <c r="G196"/>
      <c r="H196" s="10"/>
      <c r="I196" s="10"/>
      <c r="J196" s="10"/>
      <c r="K196" s="10"/>
      <c r="L196" s="10"/>
      <c r="M196" s="51"/>
    </row>
    <row r="197" spans="1:13" x14ac:dyDescent="0.2">
      <c r="A197"/>
      <c r="B197"/>
      <c r="C197"/>
      <c r="D197"/>
      <c r="E197" s="7"/>
      <c r="F197"/>
      <c r="G197"/>
      <c r="H197" s="10"/>
      <c r="I197" s="10"/>
      <c r="J197" s="10"/>
      <c r="K197" s="10"/>
      <c r="L197" s="10"/>
      <c r="M197" s="51"/>
    </row>
    <row r="198" spans="1:13" x14ac:dyDescent="0.2">
      <c r="A198"/>
      <c r="B198"/>
      <c r="C198"/>
      <c r="D198"/>
      <c r="E198" s="7"/>
      <c r="F198"/>
      <c r="G198"/>
      <c r="H198" s="10"/>
      <c r="I198" s="10"/>
      <c r="J198" s="10"/>
      <c r="K198" s="10"/>
      <c r="L198" s="10"/>
      <c r="M198" s="51"/>
    </row>
    <row r="199" spans="1:13" x14ac:dyDescent="0.2">
      <c r="A199"/>
      <c r="B199"/>
      <c r="C199"/>
      <c r="D199"/>
      <c r="E199" s="7"/>
      <c r="F199"/>
      <c r="G199"/>
      <c r="H199" s="10"/>
      <c r="I199" s="10"/>
      <c r="J199" s="10"/>
      <c r="K199" s="10"/>
      <c r="L199" s="10"/>
      <c r="M199" s="51"/>
    </row>
    <row r="200" spans="1:13" x14ac:dyDescent="0.2">
      <c r="A200"/>
      <c r="B200"/>
      <c r="C200"/>
      <c r="D200"/>
      <c r="E200" s="7"/>
      <c r="F200"/>
      <c r="G200"/>
      <c r="H200" s="10"/>
      <c r="I200" s="10"/>
      <c r="J200" s="10"/>
      <c r="K200" s="10"/>
      <c r="L200" s="10"/>
      <c r="M200" s="51"/>
    </row>
    <row r="201" spans="1:13" x14ac:dyDescent="0.2">
      <c r="A201"/>
      <c r="B201"/>
      <c r="C201"/>
      <c r="D201"/>
      <c r="E201" s="7"/>
      <c r="F201"/>
      <c r="G201"/>
      <c r="H201" s="10"/>
      <c r="I201" s="10"/>
      <c r="J201" s="10"/>
      <c r="K201" s="10"/>
      <c r="L201" s="10"/>
      <c r="M201" s="51"/>
    </row>
    <row r="202" spans="1:13" x14ac:dyDescent="0.2">
      <c r="A202"/>
      <c r="B202"/>
      <c r="C202"/>
      <c r="D202"/>
      <c r="E202" s="7"/>
      <c r="F202"/>
      <c r="G202"/>
      <c r="H202" s="10"/>
      <c r="I202" s="10"/>
      <c r="J202" s="10"/>
      <c r="K202" s="10"/>
      <c r="L202" s="10"/>
      <c r="M202" s="51"/>
    </row>
    <row r="203" spans="1:13" x14ac:dyDescent="0.2">
      <c r="A203"/>
      <c r="B203"/>
      <c r="C203"/>
      <c r="D203"/>
      <c r="E203" s="7"/>
      <c r="F203"/>
      <c r="G203"/>
      <c r="H203" s="10"/>
      <c r="I203" s="10"/>
      <c r="J203" s="10"/>
      <c r="K203" s="10"/>
      <c r="L203" s="10"/>
      <c r="M203" s="51"/>
    </row>
    <row r="204" spans="1:13" x14ac:dyDescent="0.2">
      <c r="A204"/>
      <c r="B204"/>
      <c r="C204"/>
      <c r="D204"/>
      <c r="E204" s="7"/>
      <c r="F204"/>
      <c r="G204"/>
      <c r="H204" s="10"/>
      <c r="I204" s="10"/>
      <c r="J204" s="10"/>
      <c r="K204" s="10"/>
      <c r="L204" s="10"/>
      <c r="M204" s="51"/>
    </row>
    <row r="205" spans="1:13" x14ac:dyDescent="0.2">
      <c r="A205"/>
      <c r="B205"/>
      <c r="C205"/>
      <c r="D205"/>
      <c r="E205" s="7"/>
      <c r="F205"/>
      <c r="G205"/>
      <c r="H205" s="10"/>
      <c r="I205" s="10"/>
      <c r="J205" s="10"/>
      <c r="K205" s="10"/>
      <c r="L205" s="10"/>
      <c r="M205" s="51"/>
    </row>
    <row r="206" spans="1:13" x14ac:dyDescent="0.2">
      <c r="A206"/>
      <c r="B206"/>
      <c r="C206"/>
      <c r="D206"/>
      <c r="E206" s="7"/>
      <c r="F206"/>
      <c r="G206"/>
      <c r="H206" s="10"/>
      <c r="I206" s="10"/>
      <c r="J206" s="10"/>
      <c r="K206" s="10"/>
      <c r="L206" s="10"/>
      <c r="M206" s="51"/>
    </row>
    <row r="207" spans="1:13" x14ac:dyDescent="0.2">
      <c r="A207"/>
      <c r="B207"/>
      <c r="C207"/>
      <c r="D207"/>
      <c r="E207" s="7"/>
      <c r="F207"/>
      <c r="G207"/>
      <c r="H207" s="10"/>
      <c r="I207" s="10"/>
      <c r="J207" s="10"/>
      <c r="K207" s="10"/>
      <c r="L207" s="10"/>
      <c r="M207" s="51"/>
    </row>
    <row r="208" spans="1:13" x14ac:dyDescent="0.2">
      <c r="A208"/>
      <c r="B208"/>
      <c r="C208"/>
      <c r="D208"/>
      <c r="E208" s="7"/>
      <c r="F208"/>
      <c r="G208"/>
      <c r="H208" s="10"/>
      <c r="I208" s="10"/>
      <c r="J208" s="10"/>
      <c r="K208" s="10"/>
      <c r="L208" s="10"/>
      <c r="M208" s="51"/>
    </row>
    <row r="209" spans="1:13" x14ac:dyDescent="0.2">
      <c r="A209"/>
      <c r="B209"/>
      <c r="C209"/>
      <c r="D209"/>
      <c r="E209" s="7"/>
      <c r="F209"/>
      <c r="G209"/>
      <c r="H209" s="10"/>
      <c r="I209" s="10"/>
      <c r="J209" s="10"/>
      <c r="K209" s="10"/>
      <c r="L209" s="10"/>
      <c r="M209" s="51"/>
    </row>
    <row r="210" spans="1:13" x14ac:dyDescent="0.2">
      <c r="A210"/>
      <c r="B210"/>
      <c r="C210"/>
      <c r="D210"/>
      <c r="E210" s="7"/>
      <c r="F210"/>
      <c r="G210"/>
      <c r="H210" s="10"/>
      <c r="I210" s="10"/>
      <c r="J210" s="10"/>
      <c r="K210" s="10"/>
      <c r="L210" s="10"/>
      <c r="M210" s="51"/>
    </row>
    <row r="211" spans="1:13" x14ac:dyDescent="0.2">
      <c r="A211"/>
      <c r="B211"/>
      <c r="C211"/>
      <c r="D211"/>
      <c r="E211" s="7"/>
      <c r="F211"/>
      <c r="G211"/>
      <c r="H211" s="10"/>
      <c r="I211" s="10"/>
      <c r="J211" s="10"/>
      <c r="K211" s="10"/>
      <c r="L211" s="10"/>
      <c r="M211" s="51"/>
    </row>
    <row r="212" spans="1:13" x14ac:dyDescent="0.2">
      <c r="A212"/>
      <c r="B212"/>
      <c r="C212"/>
      <c r="D212"/>
      <c r="E212" s="7"/>
      <c r="F212"/>
      <c r="G212"/>
      <c r="H212" s="10"/>
      <c r="I212" s="10"/>
      <c r="J212" s="10"/>
      <c r="K212" s="10"/>
      <c r="L212" s="10"/>
      <c r="M212" s="51"/>
    </row>
    <row r="213" spans="1:13" x14ac:dyDescent="0.2">
      <c r="A213"/>
      <c r="B213"/>
      <c r="C213"/>
      <c r="D213"/>
      <c r="E213" s="7"/>
      <c r="F213"/>
      <c r="G213"/>
      <c r="H213" s="10"/>
      <c r="I213" s="10"/>
      <c r="J213" s="10"/>
      <c r="K213" s="10"/>
      <c r="L213" s="10"/>
      <c r="M213" s="51"/>
    </row>
    <row r="214" spans="1:13" x14ac:dyDescent="0.2">
      <c r="A214"/>
      <c r="B214"/>
      <c r="C214"/>
      <c r="D214"/>
      <c r="E214" s="7"/>
      <c r="F214"/>
      <c r="G214"/>
      <c r="H214" s="10"/>
      <c r="I214" s="10"/>
      <c r="J214" s="10"/>
      <c r="K214" s="10"/>
      <c r="L214" s="10"/>
      <c r="M214" s="51"/>
    </row>
    <row r="215" spans="1:13" x14ac:dyDescent="0.2">
      <c r="A215"/>
      <c r="B215"/>
      <c r="C215"/>
      <c r="D215"/>
      <c r="E215" s="7"/>
      <c r="F215"/>
      <c r="G215"/>
      <c r="H215" s="10"/>
      <c r="I215" s="10"/>
      <c r="J215" s="10"/>
      <c r="K215" s="10"/>
      <c r="L215" s="10"/>
      <c r="M215" s="51"/>
    </row>
    <row r="216" spans="1:13" x14ac:dyDescent="0.2">
      <c r="A216"/>
      <c r="B216"/>
      <c r="C216"/>
      <c r="D216"/>
      <c r="E216" s="7"/>
      <c r="F216"/>
      <c r="G216"/>
      <c r="H216" s="10"/>
      <c r="I216" s="10"/>
      <c r="J216" s="10"/>
      <c r="K216" s="10"/>
      <c r="L216" s="10"/>
      <c r="M216" s="51"/>
    </row>
    <row r="217" spans="1:13" x14ac:dyDescent="0.2">
      <c r="A217"/>
      <c r="B217"/>
      <c r="C217"/>
      <c r="D217"/>
      <c r="E217" s="7"/>
      <c r="F217"/>
      <c r="G217"/>
      <c r="H217" s="10"/>
      <c r="I217" s="10"/>
      <c r="J217" s="10"/>
      <c r="K217" s="10"/>
      <c r="L217" s="10"/>
      <c r="M217" s="51"/>
    </row>
    <row r="218" spans="1:13" x14ac:dyDescent="0.2">
      <c r="A218"/>
      <c r="B218"/>
      <c r="C218"/>
      <c r="D218"/>
      <c r="E218" s="7"/>
      <c r="F218"/>
      <c r="G218"/>
      <c r="H218" s="10"/>
      <c r="I218" s="10"/>
      <c r="J218" s="10"/>
      <c r="K218" s="10"/>
      <c r="L218" s="10"/>
      <c r="M218" s="51"/>
    </row>
    <row r="219" spans="1:13" x14ac:dyDescent="0.2">
      <c r="A219"/>
      <c r="B219"/>
      <c r="C219"/>
      <c r="D219"/>
      <c r="E219" s="7"/>
      <c r="F219"/>
      <c r="G219"/>
      <c r="H219" s="10"/>
      <c r="I219" s="10"/>
      <c r="J219" s="10"/>
      <c r="K219" s="10"/>
      <c r="L219" s="10"/>
      <c r="M219" s="51"/>
    </row>
    <row r="220" spans="1:13" x14ac:dyDescent="0.2">
      <c r="A220"/>
      <c r="B220"/>
      <c r="C220"/>
      <c r="D220"/>
      <c r="E220" s="7"/>
      <c r="F220"/>
      <c r="G220"/>
      <c r="H220" s="10"/>
      <c r="I220" s="10"/>
      <c r="J220" s="10"/>
      <c r="K220" s="10"/>
      <c r="L220" s="10"/>
      <c r="M220" s="51"/>
    </row>
    <row r="221" spans="1:13" x14ac:dyDescent="0.2">
      <c r="A221"/>
      <c r="B221"/>
      <c r="C221"/>
      <c r="D221"/>
      <c r="E221" s="7"/>
      <c r="F221"/>
      <c r="G221"/>
      <c r="H221" s="10"/>
      <c r="I221" s="10"/>
      <c r="J221" s="10"/>
      <c r="K221" s="10"/>
      <c r="L221" s="10"/>
      <c r="M221" s="51"/>
    </row>
    <row r="222" spans="1:13" x14ac:dyDescent="0.2">
      <c r="A222"/>
      <c r="B222"/>
      <c r="C222"/>
      <c r="D222"/>
      <c r="E222" s="7"/>
      <c r="F222"/>
      <c r="G222"/>
      <c r="H222" s="10"/>
      <c r="I222" s="10"/>
      <c r="J222" s="10"/>
      <c r="K222" s="10"/>
      <c r="L222" s="10"/>
      <c r="M222" s="51"/>
    </row>
    <row r="223" spans="1:13" x14ac:dyDescent="0.2">
      <c r="A223"/>
      <c r="B223"/>
      <c r="C223"/>
      <c r="D223"/>
      <c r="E223" s="7"/>
      <c r="F223"/>
      <c r="G223"/>
      <c r="H223" s="10"/>
      <c r="I223" s="10"/>
      <c r="J223" s="10"/>
      <c r="K223" s="10"/>
      <c r="L223" s="10"/>
      <c r="M223" s="51"/>
    </row>
    <row r="224" spans="1:13" x14ac:dyDescent="0.2">
      <c r="A224"/>
      <c r="B224"/>
      <c r="C224"/>
      <c r="D224"/>
      <c r="E224" s="7"/>
      <c r="F224"/>
      <c r="G224"/>
      <c r="H224" s="10"/>
      <c r="I224" s="10"/>
      <c r="J224" s="10"/>
      <c r="K224" s="10"/>
      <c r="L224" s="10"/>
      <c r="M224" s="51"/>
    </row>
    <row r="225" spans="1:13" x14ac:dyDescent="0.2">
      <c r="A225"/>
      <c r="B225"/>
      <c r="C225"/>
      <c r="D225"/>
      <c r="E225" s="7"/>
      <c r="F225"/>
      <c r="G225"/>
      <c r="H225" s="10"/>
      <c r="I225" s="10"/>
      <c r="J225" s="10"/>
      <c r="K225" s="10"/>
      <c r="L225" s="10"/>
      <c r="M225" s="51"/>
    </row>
    <row r="226" spans="1:13" x14ac:dyDescent="0.2">
      <c r="A226"/>
      <c r="B226"/>
      <c r="C226"/>
      <c r="D226"/>
      <c r="E226" s="7"/>
      <c r="F226"/>
      <c r="G226"/>
      <c r="H226" s="10"/>
      <c r="I226" s="10"/>
      <c r="J226" s="10"/>
      <c r="K226" s="10"/>
      <c r="L226" s="10"/>
      <c r="M226" s="51"/>
    </row>
    <row r="227" spans="1:13" x14ac:dyDescent="0.2">
      <c r="A227"/>
      <c r="B227"/>
      <c r="C227"/>
      <c r="D227"/>
      <c r="E227" s="7"/>
      <c r="F227"/>
      <c r="G227"/>
      <c r="H227" s="10"/>
      <c r="I227" s="10"/>
      <c r="J227" s="10"/>
      <c r="K227" s="10"/>
      <c r="L227" s="10"/>
      <c r="M227" s="51"/>
    </row>
    <row r="228" spans="1:13" x14ac:dyDescent="0.2">
      <c r="A228"/>
      <c r="B228"/>
      <c r="C228"/>
      <c r="D228"/>
      <c r="E228" s="7"/>
      <c r="F228"/>
      <c r="G228"/>
      <c r="H228" s="10"/>
      <c r="I228" s="10"/>
      <c r="J228" s="10"/>
      <c r="K228" s="10"/>
      <c r="L228" s="10"/>
      <c r="M228" s="51"/>
    </row>
    <row r="229" spans="1:13" x14ac:dyDescent="0.2">
      <c r="A229"/>
      <c r="B229"/>
      <c r="C229"/>
      <c r="D229"/>
      <c r="E229" s="7"/>
      <c r="F229"/>
      <c r="G229"/>
      <c r="H229" s="10"/>
      <c r="I229" s="10"/>
      <c r="J229" s="10"/>
      <c r="K229" s="10"/>
      <c r="L229" s="10"/>
      <c r="M229" s="51"/>
    </row>
    <row r="230" spans="1:13" x14ac:dyDescent="0.2">
      <c r="A230"/>
      <c r="B230"/>
      <c r="C230"/>
      <c r="D230"/>
      <c r="E230" s="7"/>
      <c r="F230"/>
      <c r="G230"/>
      <c r="H230" s="10"/>
      <c r="I230" s="10"/>
      <c r="J230" s="10"/>
      <c r="K230" s="10"/>
      <c r="L230" s="10"/>
      <c r="M230" s="51"/>
    </row>
    <row r="231" spans="1:13" x14ac:dyDescent="0.2">
      <c r="A231"/>
      <c r="B231"/>
      <c r="C231"/>
      <c r="D231"/>
      <c r="E231" s="7"/>
      <c r="F231"/>
      <c r="G231"/>
      <c r="H231" s="10"/>
      <c r="I231" s="10"/>
      <c r="J231" s="10"/>
      <c r="K231" s="10"/>
      <c r="L231" s="10"/>
      <c r="M231" s="51"/>
    </row>
    <row r="232" spans="1:13" x14ac:dyDescent="0.2">
      <c r="A232"/>
      <c r="B232"/>
      <c r="C232"/>
      <c r="D232"/>
      <c r="E232" s="7"/>
      <c r="F232"/>
      <c r="G232"/>
      <c r="H232" s="10"/>
      <c r="I232" s="10"/>
      <c r="J232" s="10"/>
      <c r="K232" s="10"/>
      <c r="L232" s="10"/>
      <c r="M232" s="51"/>
    </row>
    <row r="233" spans="1:13" x14ac:dyDescent="0.2">
      <c r="A233"/>
      <c r="B233"/>
      <c r="C233"/>
      <c r="D233"/>
      <c r="E233" s="7"/>
      <c r="F233"/>
      <c r="G233"/>
      <c r="H233" s="10"/>
      <c r="I233" s="10"/>
      <c r="J233" s="10"/>
      <c r="K233" s="10"/>
      <c r="L233" s="10"/>
      <c r="M233" s="51"/>
    </row>
    <row r="234" spans="1:13" x14ac:dyDescent="0.2">
      <c r="A234"/>
      <c r="B234"/>
      <c r="C234"/>
      <c r="D234"/>
      <c r="E234" s="7"/>
      <c r="F234"/>
      <c r="G234"/>
      <c r="H234" s="10"/>
      <c r="I234" s="10"/>
      <c r="J234" s="10"/>
      <c r="K234" s="10"/>
      <c r="L234" s="10"/>
      <c r="M234" s="51"/>
    </row>
    <row r="235" spans="1:13" x14ac:dyDescent="0.2">
      <c r="A235"/>
      <c r="B235"/>
      <c r="C235"/>
      <c r="D235"/>
      <c r="E235" s="7"/>
      <c r="F235"/>
      <c r="G235"/>
      <c r="H235" s="10"/>
      <c r="I235" s="10"/>
      <c r="J235" s="10"/>
      <c r="K235" s="10"/>
      <c r="L235" s="10"/>
      <c r="M235" s="51"/>
    </row>
    <row r="236" spans="1:13" x14ac:dyDescent="0.2">
      <c r="A236"/>
      <c r="B236"/>
      <c r="C236"/>
      <c r="D236"/>
      <c r="E236" s="7"/>
      <c r="F236"/>
      <c r="G236"/>
      <c r="H236" s="10"/>
      <c r="I236" s="10"/>
      <c r="J236" s="10"/>
      <c r="K236" s="10"/>
      <c r="L236" s="10"/>
      <c r="M236" s="51"/>
    </row>
    <row r="237" spans="1:13" x14ac:dyDescent="0.2">
      <c r="A237"/>
      <c r="B237"/>
      <c r="C237"/>
      <c r="D237"/>
      <c r="E237" s="7"/>
      <c r="F237"/>
      <c r="G237"/>
      <c r="H237" s="10"/>
      <c r="I237" s="10"/>
      <c r="J237" s="10"/>
      <c r="K237" s="10"/>
      <c r="L237" s="10"/>
      <c r="M237" s="51"/>
    </row>
    <row r="238" spans="1:13" x14ac:dyDescent="0.2">
      <c r="A238"/>
      <c r="B238"/>
      <c r="C238"/>
      <c r="D238"/>
      <c r="E238" s="7"/>
      <c r="F238"/>
      <c r="G238"/>
      <c r="H238" s="10"/>
      <c r="I238" s="10"/>
      <c r="J238" s="10"/>
      <c r="K238" s="10"/>
      <c r="L238" s="10"/>
      <c r="M238" s="51"/>
    </row>
    <row r="239" spans="1:13" x14ac:dyDescent="0.2">
      <c r="A239"/>
      <c r="B239"/>
      <c r="C239"/>
      <c r="D239"/>
      <c r="E239" s="7"/>
      <c r="F239"/>
      <c r="G239"/>
      <c r="H239" s="10"/>
      <c r="I239" s="10"/>
      <c r="J239" s="10"/>
      <c r="K239" s="10"/>
      <c r="L239" s="10"/>
      <c r="M239" s="51"/>
    </row>
  </sheetData>
  <autoFilter ref="A1:M239"/>
  <phoneticPr fontId="0" type="noConversion"/>
  <pageMargins left="0.75" right="0.75" top="1" bottom="1" header="0.5" footer="0.5"/>
  <pageSetup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240"/>
  <sheetViews>
    <sheetView zoomScale="120" zoomScaleNormal="120" workbookViewId="0">
      <pane ySplit="1" topLeftCell="A14" activePane="bottomLeft" state="frozen"/>
      <selection activeCell="L2" sqref="L2"/>
      <selection pane="bottomLeft" activeCell="A35" sqref="A35:XFD35"/>
    </sheetView>
  </sheetViews>
  <sheetFormatPr defaultColWidth="9.140625" defaultRowHeight="12.75" x14ac:dyDescent="0.2"/>
  <cols>
    <col min="1" max="1" width="10.140625" style="3" customWidth="1"/>
    <col min="2" max="2" width="25.7109375" style="3" customWidth="1"/>
    <col min="3" max="3" width="10.85546875" style="3" bestFit="1" customWidth="1"/>
    <col min="4" max="4" width="13.7109375" style="3" customWidth="1"/>
    <col min="5" max="5" width="11.42578125" style="8" customWidth="1"/>
    <col min="6" max="7" width="8" style="3" customWidth="1"/>
    <col min="8" max="8" width="8" style="11" customWidth="1"/>
    <col min="9" max="9" width="10.5703125" style="11" customWidth="1"/>
    <col min="10" max="10" width="15.28515625" style="11" customWidth="1"/>
    <col min="11" max="11" width="9.140625" style="11" customWidth="1"/>
    <col min="12" max="12" width="8" style="11" customWidth="1"/>
    <col min="13" max="13" width="116.28515625" style="82" customWidth="1"/>
    <col min="14" max="14" width="27.85546875" style="14" bestFit="1" customWidth="1"/>
    <col min="15" max="16384" width="9.140625" style="3"/>
  </cols>
  <sheetData>
    <row r="1" spans="1:14" s="1" customFormat="1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1" t="s">
        <v>5</v>
      </c>
      <c r="G1" s="1" t="s">
        <v>6</v>
      </c>
      <c r="H1" s="9" t="s">
        <v>7</v>
      </c>
      <c r="I1" s="30" t="s">
        <v>8</v>
      </c>
      <c r="J1" s="30" t="s">
        <v>9</v>
      </c>
      <c r="K1" s="16" t="s">
        <v>10</v>
      </c>
      <c r="L1" s="16" t="s">
        <v>11</v>
      </c>
      <c r="M1" s="77" t="s">
        <v>12</v>
      </c>
      <c r="N1" s="13"/>
    </row>
    <row r="2" spans="1:14" x14ac:dyDescent="0.2">
      <c r="A2" s="2" t="s">
        <v>43</v>
      </c>
      <c r="B2" t="s">
        <v>14</v>
      </c>
      <c r="C2" s="5">
        <v>43510</v>
      </c>
      <c r="D2" s="2" t="s">
        <v>44</v>
      </c>
      <c r="E2" s="7">
        <v>14799</v>
      </c>
      <c r="F2"/>
      <c r="G2"/>
      <c r="H2" s="19">
        <f>0.029-0.945</f>
        <v>-0.91599999999999993</v>
      </c>
      <c r="I2" s="33">
        <v>138.80000000000001</v>
      </c>
      <c r="J2" s="14">
        <v>137.19999999999999</v>
      </c>
      <c r="K2" s="24">
        <f>J2-I2</f>
        <v>-1.6000000000000227</v>
      </c>
      <c r="L2" s="47">
        <f>-(912-36)</f>
        <v>-876</v>
      </c>
      <c r="M2" s="2" t="s">
        <v>45</v>
      </c>
      <c r="N2" s="3"/>
    </row>
    <row r="3" spans="1:14" x14ac:dyDescent="0.2">
      <c r="A3" s="2" t="s">
        <v>43</v>
      </c>
      <c r="B3" t="s">
        <v>14</v>
      </c>
      <c r="C3" s="5">
        <v>43510</v>
      </c>
      <c r="D3" s="2" t="s">
        <v>46</v>
      </c>
      <c r="E3" s="7">
        <v>13390038</v>
      </c>
      <c r="F3"/>
      <c r="G3"/>
      <c r="H3" s="10">
        <f>-0.597-0.105</f>
        <v>-0.70199999999999996</v>
      </c>
      <c r="I3" s="10"/>
      <c r="J3" s="10"/>
      <c r="K3" s="10"/>
      <c r="L3" s="10"/>
      <c r="M3" s="51" t="s">
        <v>47</v>
      </c>
    </row>
    <row r="4" spans="1:14" x14ac:dyDescent="0.2">
      <c r="A4" s="2" t="s">
        <v>43</v>
      </c>
      <c r="B4" t="s">
        <v>14</v>
      </c>
      <c r="C4" s="5">
        <v>43510</v>
      </c>
      <c r="D4" s="2" t="s">
        <v>19</v>
      </c>
      <c r="E4" s="12">
        <v>2111</v>
      </c>
      <c r="F4"/>
      <c r="G4"/>
      <c r="H4" s="10"/>
      <c r="I4" s="10"/>
      <c r="J4" s="10"/>
      <c r="K4" s="10"/>
      <c r="L4" s="10"/>
      <c r="M4" s="51"/>
    </row>
    <row r="5" spans="1:14" x14ac:dyDescent="0.2">
      <c r="A5" s="2" t="s">
        <v>43</v>
      </c>
      <c r="B5" t="s">
        <v>14</v>
      </c>
      <c r="C5" s="5">
        <v>43510</v>
      </c>
      <c r="D5" s="2" t="s">
        <v>20</v>
      </c>
      <c r="E5" s="12"/>
      <c r="F5"/>
      <c r="G5"/>
      <c r="H5" s="10">
        <v>-0.33</v>
      </c>
      <c r="I5" s="10"/>
      <c r="J5" s="10"/>
      <c r="K5" s="10"/>
      <c r="L5" s="10"/>
      <c r="M5" s="51"/>
    </row>
    <row r="6" spans="1:14" x14ac:dyDescent="0.2">
      <c r="A6" s="2" t="s">
        <v>43</v>
      </c>
      <c r="B6" t="s">
        <v>14</v>
      </c>
      <c r="C6" s="5">
        <v>43510</v>
      </c>
      <c r="D6" s="2" t="s">
        <v>21</v>
      </c>
      <c r="E6" s="12"/>
      <c r="F6" s="20">
        <v>154302</v>
      </c>
      <c r="G6" s="20">
        <v>509726</v>
      </c>
      <c r="H6" s="32">
        <f>H7</f>
        <v>2.12</v>
      </c>
      <c r="I6" s="10"/>
      <c r="J6" s="10"/>
      <c r="K6" s="10"/>
      <c r="L6" s="10"/>
      <c r="M6" s="81" t="s">
        <v>48</v>
      </c>
    </row>
    <row r="7" spans="1:14" x14ac:dyDescent="0.2">
      <c r="A7" s="2" t="s">
        <v>43</v>
      </c>
      <c r="B7" t="s">
        <v>14</v>
      </c>
      <c r="C7" s="5">
        <v>43521</v>
      </c>
      <c r="D7" s="2" t="s">
        <v>21</v>
      </c>
      <c r="E7" s="7"/>
      <c r="F7">
        <v>154303</v>
      </c>
      <c r="G7">
        <v>509728</v>
      </c>
      <c r="H7" s="10">
        <v>2.12</v>
      </c>
      <c r="I7" s="10"/>
      <c r="J7" s="10"/>
      <c r="K7" s="10"/>
      <c r="L7" s="10"/>
      <c r="M7" s="81" t="s">
        <v>49</v>
      </c>
    </row>
    <row r="8" spans="1:14" x14ac:dyDescent="0.2">
      <c r="A8" s="2" t="s">
        <v>43</v>
      </c>
      <c r="B8" t="s">
        <v>14</v>
      </c>
      <c r="C8" s="5">
        <v>43521</v>
      </c>
      <c r="D8" s="2" t="s">
        <v>23</v>
      </c>
      <c r="E8" s="7"/>
      <c r="F8"/>
      <c r="G8"/>
      <c r="H8" s="10">
        <v>-0.92</v>
      </c>
      <c r="I8" s="10"/>
      <c r="J8" s="10"/>
      <c r="K8" s="10"/>
      <c r="L8" s="10"/>
      <c r="M8" s="51" t="s">
        <v>50</v>
      </c>
    </row>
    <row r="9" spans="1:14" x14ac:dyDescent="0.2">
      <c r="A9" s="2" t="s">
        <v>43</v>
      </c>
      <c r="B9" t="s">
        <v>14</v>
      </c>
      <c r="C9" s="43">
        <v>43550</v>
      </c>
      <c r="D9" s="2" t="s">
        <v>44</v>
      </c>
      <c r="E9" s="7">
        <v>14799</v>
      </c>
      <c r="F9"/>
      <c r="G9"/>
      <c r="H9" s="10">
        <f>0.0276-0.945</f>
        <v>-0.91739999999999999</v>
      </c>
      <c r="I9" s="33">
        <v>138.80000000000001</v>
      </c>
      <c r="J9" s="14">
        <v>137.19999999999999</v>
      </c>
      <c r="K9" s="24">
        <f>J9-I9</f>
        <v>-1.6000000000000227</v>
      </c>
      <c r="L9" s="47">
        <f>-(912-36)</f>
        <v>-876</v>
      </c>
      <c r="M9" s="51"/>
    </row>
    <row r="10" spans="1:14" x14ac:dyDescent="0.2">
      <c r="A10" s="2" t="s">
        <v>43</v>
      </c>
      <c r="B10" t="s">
        <v>14</v>
      </c>
      <c r="C10" s="43">
        <v>43550</v>
      </c>
      <c r="D10" s="2" t="s">
        <v>46</v>
      </c>
      <c r="E10" s="7">
        <v>13390038</v>
      </c>
      <c r="F10"/>
      <c r="G10"/>
      <c r="H10" s="10">
        <f>-0.6254-0.105</f>
        <v>-0.73039999999999994</v>
      </c>
      <c r="I10" s="10"/>
      <c r="J10" s="10"/>
      <c r="K10" s="10"/>
      <c r="L10" s="10"/>
      <c r="M10" s="51"/>
    </row>
    <row r="11" spans="1:14" x14ac:dyDescent="0.2">
      <c r="A11" s="2" t="s">
        <v>43</v>
      </c>
      <c r="B11" t="s">
        <v>14</v>
      </c>
      <c r="C11" s="43">
        <v>43550</v>
      </c>
      <c r="D11" s="2" t="s">
        <v>23</v>
      </c>
      <c r="E11" s="7"/>
      <c r="F11"/>
      <c r="G11"/>
      <c r="H11" s="10">
        <v>-1.1104000000000001</v>
      </c>
      <c r="I11" s="10"/>
      <c r="J11" s="10"/>
      <c r="K11" s="10"/>
      <c r="L11" s="10"/>
      <c r="M11" s="51" t="s">
        <v>51</v>
      </c>
    </row>
    <row r="12" spans="1:14" x14ac:dyDescent="0.2">
      <c r="A12" s="2" t="s">
        <v>43</v>
      </c>
      <c r="B12" t="s">
        <v>14</v>
      </c>
      <c r="C12" s="43">
        <v>43550</v>
      </c>
      <c r="D12" s="2" t="s">
        <v>21</v>
      </c>
      <c r="E12" s="7"/>
      <c r="F12">
        <v>154303</v>
      </c>
      <c r="G12">
        <v>509728</v>
      </c>
      <c r="H12" s="10">
        <v>2.0788000000000002</v>
      </c>
      <c r="I12" s="10"/>
      <c r="J12" s="10"/>
      <c r="K12" s="10"/>
      <c r="L12" s="10"/>
      <c r="M12" s="51"/>
    </row>
    <row r="13" spans="1:14" x14ac:dyDescent="0.2">
      <c r="A13" s="2" t="s">
        <v>43</v>
      </c>
      <c r="B13" t="s">
        <v>14</v>
      </c>
      <c r="C13" s="43">
        <v>43605</v>
      </c>
      <c r="D13" s="2" t="s">
        <v>44</v>
      </c>
      <c r="E13" s="7">
        <v>14799</v>
      </c>
      <c r="F13"/>
      <c r="G13"/>
      <c r="H13" s="10">
        <f>0.0279-0.945</f>
        <v>-0.91709999999999992</v>
      </c>
      <c r="I13" s="33">
        <v>138.80000000000001</v>
      </c>
      <c r="J13" s="14">
        <v>137.19999999999999</v>
      </c>
      <c r="K13" s="24">
        <f>J13-I13</f>
        <v>-1.6000000000000227</v>
      </c>
      <c r="L13" s="47">
        <f>-(912-36)</f>
        <v>-876</v>
      </c>
      <c r="M13" s="51"/>
    </row>
    <row r="14" spans="1:14" x14ac:dyDescent="0.2">
      <c r="A14" s="2" t="s">
        <v>43</v>
      </c>
      <c r="B14" t="s">
        <v>14</v>
      </c>
      <c r="C14" s="43">
        <v>43605</v>
      </c>
      <c r="D14" s="2" t="s">
        <v>23</v>
      </c>
      <c r="E14" s="7"/>
      <c r="F14"/>
      <c r="G14"/>
      <c r="H14" s="10">
        <v>-1.0389999999999999</v>
      </c>
      <c r="I14" s="10"/>
      <c r="J14" s="10"/>
      <c r="K14" s="10"/>
      <c r="L14" s="10"/>
      <c r="M14" s="51"/>
    </row>
    <row r="15" spans="1:14" x14ac:dyDescent="0.2">
      <c r="A15" s="2" t="s">
        <v>43</v>
      </c>
      <c r="B15" t="s">
        <v>14</v>
      </c>
      <c r="C15" s="43">
        <v>43605</v>
      </c>
      <c r="D15" s="2" t="s">
        <v>21</v>
      </c>
      <c r="E15" s="7"/>
      <c r="F15">
        <v>154303</v>
      </c>
      <c r="G15">
        <v>509728</v>
      </c>
      <c r="H15" s="10">
        <v>2.0855000000000001</v>
      </c>
      <c r="I15" s="10"/>
      <c r="J15" s="10"/>
      <c r="K15" s="10"/>
      <c r="L15" s="10"/>
      <c r="M15" s="51" t="s">
        <v>29</v>
      </c>
    </row>
    <row r="16" spans="1:14" x14ac:dyDescent="0.2">
      <c r="A16" s="2" t="s">
        <v>43</v>
      </c>
      <c r="B16" t="s">
        <v>14</v>
      </c>
      <c r="C16" s="43">
        <v>43633</v>
      </c>
      <c r="D16" s="2" t="s">
        <v>44</v>
      </c>
      <c r="E16" s="7">
        <v>14799</v>
      </c>
      <c r="F16"/>
      <c r="G16"/>
      <c r="H16" s="72">
        <f>0.0279-0.945</f>
        <v>-0.91709999999999992</v>
      </c>
      <c r="I16" s="33">
        <v>138.80000000000001</v>
      </c>
      <c r="J16" s="14">
        <v>137.19999999999999</v>
      </c>
      <c r="K16" s="24">
        <f>J16-I16</f>
        <v>-1.6000000000000227</v>
      </c>
      <c r="L16" s="47">
        <f>-(912-36)</f>
        <v>-876</v>
      </c>
      <c r="M16" s="46">
        <f>0.0428-0.945</f>
        <v>-0.9022</v>
      </c>
    </row>
    <row r="17" spans="1:14" x14ac:dyDescent="0.2">
      <c r="A17" s="2" t="s">
        <v>43</v>
      </c>
      <c r="B17" t="s">
        <v>14</v>
      </c>
      <c r="C17" s="43">
        <v>43633</v>
      </c>
      <c r="D17" s="2" t="s">
        <v>46</v>
      </c>
      <c r="E17" s="7">
        <v>13390038</v>
      </c>
      <c r="F17"/>
      <c r="G17"/>
      <c r="H17" s="10">
        <f>-0.6254-0.105</f>
        <v>-0.73039999999999994</v>
      </c>
      <c r="I17" s="10"/>
      <c r="J17" s="10"/>
      <c r="K17" s="10"/>
      <c r="L17" s="10"/>
      <c r="M17" s="46">
        <f>-0.6489-0.105</f>
        <v>-0.75390000000000001</v>
      </c>
    </row>
    <row r="18" spans="1:14" x14ac:dyDescent="0.2">
      <c r="A18" s="2" t="s">
        <v>43</v>
      </c>
      <c r="B18" t="s">
        <v>14</v>
      </c>
      <c r="C18" s="43">
        <v>43633</v>
      </c>
      <c r="D18" s="2" t="s">
        <v>23</v>
      </c>
      <c r="E18" s="7"/>
      <c r="F18"/>
      <c r="G18"/>
      <c r="H18" s="72">
        <v>-0.88949999999999996</v>
      </c>
      <c r="I18" s="10"/>
      <c r="J18" s="10"/>
      <c r="K18" s="10"/>
      <c r="L18" s="10"/>
      <c r="M18" s="46">
        <v>-0.88949999999999996</v>
      </c>
    </row>
    <row r="19" spans="1:14" x14ac:dyDescent="0.2">
      <c r="A19" s="2" t="s">
        <v>43</v>
      </c>
      <c r="B19" t="s">
        <v>14</v>
      </c>
      <c r="C19" s="43">
        <v>43633</v>
      </c>
      <c r="D19" s="2" t="s">
        <v>21</v>
      </c>
      <c r="E19" s="7"/>
      <c r="F19">
        <v>154303</v>
      </c>
      <c r="G19">
        <v>509728</v>
      </c>
      <c r="H19" s="10">
        <v>2.0855000000000001</v>
      </c>
      <c r="I19" s="10"/>
      <c r="J19" s="10"/>
      <c r="K19" s="10"/>
      <c r="L19" s="10"/>
      <c r="M19" s="46">
        <v>2.085</v>
      </c>
    </row>
    <row r="20" spans="1:14" x14ac:dyDescent="0.2">
      <c r="A20" s="2" t="s">
        <v>43</v>
      </c>
      <c r="B20" t="s">
        <v>14</v>
      </c>
      <c r="C20" s="43">
        <v>43691</v>
      </c>
      <c r="D20" s="2" t="s">
        <v>44</v>
      </c>
      <c r="E20" s="7">
        <v>14799</v>
      </c>
      <c r="F20"/>
      <c r="G20"/>
      <c r="H20" s="73">
        <v>-0.71</v>
      </c>
      <c r="I20" s="33">
        <v>138.80000000000001</v>
      </c>
      <c r="J20" s="14">
        <v>137.19999999999999</v>
      </c>
      <c r="K20" s="24">
        <f>J20-I20</f>
        <v>-1.6000000000000227</v>
      </c>
      <c r="L20" s="47">
        <f>-(912-36)</f>
        <v>-876</v>
      </c>
      <c r="M20" s="52" t="s">
        <v>52</v>
      </c>
    </row>
    <row r="21" spans="1:14" x14ac:dyDescent="0.2">
      <c r="A21" s="2" t="s">
        <v>43</v>
      </c>
      <c r="B21" t="s">
        <v>14</v>
      </c>
      <c r="C21" s="43">
        <v>43691</v>
      </c>
      <c r="D21" s="2" t="s">
        <v>46</v>
      </c>
      <c r="E21" s="7">
        <v>13390038</v>
      </c>
      <c r="F21"/>
      <c r="G21"/>
      <c r="H21" s="73">
        <v>-0.47</v>
      </c>
      <c r="I21" s="10"/>
      <c r="J21" s="10"/>
      <c r="K21" s="10"/>
      <c r="L21" s="10"/>
      <c r="M21" s="59" t="s">
        <v>53</v>
      </c>
    </row>
    <row r="22" spans="1:14" x14ac:dyDescent="0.2">
      <c r="A22" s="2" t="s">
        <v>43</v>
      </c>
      <c r="B22" t="s">
        <v>14</v>
      </c>
      <c r="C22" s="43">
        <v>43691</v>
      </c>
      <c r="D22" s="2" t="s">
        <v>23</v>
      </c>
      <c r="E22" s="7"/>
      <c r="F22"/>
      <c r="G22"/>
      <c r="H22" s="10">
        <v>-1.0249999999999999</v>
      </c>
      <c r="I22" s="10"/>
      <c r="J22" s="10"/>
      <c r="K22" s="10"/>
      <c r="L22" s="10"/>
      <c r="M22" s="80" t="s">
        <v>54</v>
      </c>
    </row>
    <row r="23" spans="1:14" x14ac:dyDescent="0.2">
      <c r="A23" s="2" t="s">
        <v>43</v>
      </c>
      <c r="B23" t="s">
        <v>14</v>
      </c>
      <c r="C23" s="43">
        <v>43691</v>
      </c>
      <c r="D23" s="2" t="s">
        <v>21</v>
      </c>
      <c r="E23" s="7"/>
      <c r="F23">
        <v>154303</v>
      </c>
      <c r="G23">
        <v>509728</v>
      </c>
      <c r="H23" s="10">
        <v>2.105</v>
      </c>
      <c r="I23" s="10"/>
      <c r="J23" s="10"/>
      <c r="K23" s="10"/>
      <c r="L23" s="10"/>
      <c r="M23" s="45"/>
    </row>
    <row r="24" spans="1:14" x14ac:dyDescent="0.2">
      <c r="A24" s="2" t="s">
        <v>43</v>
      </c>
      <c r="B24" t="s">
        <v>14</v>
      </c>
      <c r="C24" s="43">
        <v>43717</v>
      </c>
      <c r="D24" s="2" t="s">
        <v>44</v>
      </c>
      <c r="E24" s="7">
        <v>14799</v>
      </c>
      <c r="F24"/>
      <c r="G24"/>
      <c r="H24" s="73">
        <v>-0.71</v>
      </c>
      <c r="I24" s="33">
        <v>138.80000000000001</v>
      </c>
      <c r="J24" s="14">
        <v>137.19999999999999</v>
      </c>
      <c r="K24" s="24">
        <f>J24-I24</f>
        <v>-1.6000000000000227</v>
      </c>
      <c r="L24" s="47">
        <f>-(912-36)</f>
        <v>-876</v>
      </c>
      <c r="M24" s="74" t="s">
        <v>55</v>
      </c>
    </row>
    <row r="25" spans="1:14" x14ac:dyDescent="0.2">
      <c r="A25" s="2" t="s">
        <v>43</v>
      </c>
      <c r="B25" t="s">
        <v>14</v>
      </c>
      <c r="C25" s="43">
        <v>43717</v>
      </c>
      <c r="D25" s="2" t="s">
        <v>46</v>
      </c>
      <c r="E25" s="7">
        <v>13390038</v>
      </c>
      <c r="F25"/>
      <c r="G25"/>
      <c r="H25" s="73">
        <v>-0.47</v>
      </c>
      <c r="I25" s="10"/>
      <c r="J25" s="10"/>
      <c r="K25" s="10"/>
      <c r="L25" s="10"/>
      <c r="M25" s="74" t="s">
        <v>56</v>
      </c>
    </row>
    <row r="26" spans="1:14" x14ac:dyDescent="0.2">
      <c r="A26" s="2" t="s">
        <v>43</v>
      </c>
      <c r="B26" t="s">
        <v>14</v>
      </c>
      <c r="C26" s="43">
        <v>43717</v>
      </c>
      <c r="D26" s="2" t="s">
        <v>23</v>
      </c>
      <c r="E26" s="7"/>
      <c r="F26"/>
      <c r="G26"/>
      <c r="H26" s="10">
        <v>-1.0249999999999999</v>
      </c>
      <c r="I26" s="10"/>
      <c r="J26" s="10"/>
      <c r="K26" s="10"/>
      <c r="L26" s="10"/>
      <c r="M26" s="46">
        <v>-1.0505</v>
      </c>
    </row>
    <row r="27" spans="1:14" s="126" customFormat="1" ht="13.5" thickBot="1" x14ac:dyDescent="0.25">
      <c r="A27" s="120" t="s">
        <v>43</v>
      </c>
      <c r="B27" s="118" t="s">
        <v>14</v>
      </c>
      <c r="C27" s="119">
        <v>43717</v>
      </c>
      <c r="D27" s="120" t="s">
        <v>21</v>
      </c>
      <c r="E27" s="121"/>
      <c r="F27" s="118">
        <v>154303</v>
      </c>
      <c r="G27" s="118">
        <v>509728</v>
      </c>
      <c r="H27" s="123">
        <v>2.0720000000000001</v>
      </c>
      <c r="I27" s="123"/>
      <c r="J27" s="123"/>
      <c r="K27" s="123"/>
      <c r="L27" s="123"/>
      <c r="M27" s="124"/>
      <c r="N27" s="125"/>
    </row>
    <row r="28" spans="1:14" x14ac:dyDescent="0.2">
      <c r="A28" s="2" t="s">
        <v>43</v>
      </c>
      <c r="B28" t="s">
        <v>14</v>
      </c>
      <c r="C28" s="43">
        <v>44182</v>
      </c>
      <c r="D28" s="2" t="s">
        <v>44</v>
      </c>
      <c r="E28" s="7">
        <v>14812</v>
      </c>
      <c r="F28"/>
      <c r="G28"/>
      <c r="H28" s="37">
        <f>0.119-0.945-0.1</f>
        <v>-0.92599999999999993</v>
      </c>
      <c r="I28" s="33"/>
      <c r="J28" s="14"/>
      <c r="K28" s="24">
        <v>0</v>
      </c>
      <c r="L28" s="93">
        <v>-876</v>
      </c>
      <c r="M28" s="46">
        <f>0.119-0.945-0.1</f>
        <v>-0.92599999999999993</v>
      </c>
    </row>
    <row r="29" spans="1:14" x14ac:dyDescent="0.2">
      <c r="A29" s="2" t="s">
        <v>43</v>
      </c>
      <c r="B29" t="s">
        <v>14</v>
      </c>
      <c r="C29" s="43">
        <v>44182</v>
      </c>
      <c r="D29" s="2" t="s">
        <v>46</v>
      </c>
      <c r="E29" s="7">
        <v>13390036</v>
      </c>
      <c r="F29"/>
      <c r="G29"/>
      <c r="H29" s="37">
        <f>-0.8952-0.1</f>
        <v>-0.99519999999999997</v>
      </c>
      <c r="I29" s="10"/>
      <c r="J29" s="10"/>
      <c r="K29" s="10"/>
      <c r="L29" s="10"/>
      <c r="M29" s="46">
        <f>-0.8952-0.1</f>
        <v>-0.99519999999999997</v>
      </c>
    </row>
    <row r="30" spans="1:14" x14ac:dyDescent="0.2">
      <c r="A30" s="2" t="s">
        <v>43</v>
      </c>
      <c r="B30" t="s">
        <v>14</v>
      </c>
      <c r="C30" s="43">
        <v>44182</v>
      </c>
      <c r="D30" s="2" t="s">
        <v>23</v>
      </c>
      <c r="E30" s="7"/>
      <c r="F30"/>
      <c r="G30"/>
      <c r="H30" s="10">
        <v>-1.4120999999999999</v>
      </c>
      <c r="I30" s="10"/>
      <c r="J30" s="10"/>
      <c r="K30" s="10"/>
      <c r="L30" s="10"/>
      <c r="M30" s="90" t="s">
        <v>209</v>
      </c>
    </row>
    <row r="31" spans="1:14" s="147" customFormat="1" x14ac:dyDescent="0.2">
      <c r="A31" s="140" t="s">
        <v>43</v>
      </c>
      <c r="B31" s="141" t="s">
        <v>14</v>
      </c>
      <c r="C31" s="142">
        <v>44182</v>
      </c>
      <c r="D31" s="140" t="s">
        <v>21</v>
      </c>
      <c r="E31" s="143"/>
      <c r="F31" s="141">
        <v>154264</v>
      </c>
      <c r="G31" s="141">
        <v>509698</v>
      </c>
      <c r="H31" s="144">
        <v>1.5129999999999999</v>
      </c>
      <c r="I31" s="144"/>
      <c r="J31" s="144"/>
      <c r="K31" s="144"/>
      <c r="L31" s="144"/>
      <c r="M31" s="145">
        <v>1.5129999999999999</v>
      </c>
      <c r="N31" s="146"/>
    </row>
    <row r="32" spans="1:14" x14ac:dyDescent="0.2">
      <c r="A32" s="2" t="s">
        <v>43</v>
      </c>
      <c r="B32" t="s">
        <v>14</v>
      </c>
      <c r="C32" s="43">
        <v>44222</v>
      </c>
      <c r="D32" s="2" t="s">
        <v>44</v>
      </c>
      <c r="E32" s="7">
        <v>14812</v>
      </c>
      <c r="F32"/>
      <c r="G32"/>
      <c r="H32" s="37">
        <f>0.119-0.945-0.1</f>
        <v>-0.92599999999999993</v>
      </c>
      <c r="I32" s="33"/>
      <c r="J32" s="14"/>
      <c r="K32" s="24">
        <v>0</v>
      </c>
      <c r="L32" s="98">
        <v>-876</v>
      </c>
      <c r="M32" s="46">
        <f>0.0278-0.945</f>
        <v>-0.9171999999999999</v>
      </c>
    </row>
    <row r="33" spans="1:14" s="4" customFormat="1" x14ac:dyDescent="0.2">
      <c r="A33" s="2" t="s">
        <v>43</v>
      </c>
      <c r="B33" t="s">
        <v>14</v>
      </c>
      <c r="C33" s="43">
        <v>44222</v>
      </c>
      <c r="D33" s="2" t="s">
        <v>46</v>
      </c>
      <c r="E33" s="7">
        <v>13390036</v>
      </c>
      <c r="F33"/>
      <c r="G33"/>
      <c r="H33" s="37">
        <f>-0.8952-0.1</f>
        <v>-0.99519999999999997</v>
      </c>
      <c r="I33" s="10"/>
      <c r="J33" s="10"/>
      <c r="K33" s="10"/>
      <c r="L33" s="10"/>
      <c r="M33" s="46">
        <f>-0.8947-0.1</f>
        <v>-0.99470000000000003</v>
      </c>
      <c r="N33" s="15"/>
    </row>
    <row r="34" spans="1:14" x14ac:dyDescent="0.2">
      <c r="A34" s="2" t="s">
        <v>43</v>
      </c>
      <c r="B34" t="s">
        <v>14</v>
      </c>
      <c r="C34" s="43">
        <v>44222</v>
      </c>
      <c r="D34" s="2" t="s">
        <v>23</v>
      </c>
      <c r="E34" s="7"/>
      <c r="F34"/>
      <c r="G34"/>
      <c r="H34" s="10">
        <v>-1.3853</v>
      </c>
      <c r="I34" s="10"/>
      <c r="J34" s="10"/>
      <c r="K34" s="10"/>
      <c r="L34" s="10"/>
      <c r="M34" s="90">
        <v>-1.3853</v>
      </c>
    </row>
    <row r="35" spans="1:14" s="126" customFormat="1" ht="13.5" thickBot="1" x14ac:dyDescent="0.25">
      <c r="A35" s="120" t="s">
        <v>43</v>
      </c>
      <c r="B35" s="118" t="s">
        <v>14</v>
      </c>
      <c r="C35" s="119">
        <v>44222</v>
      </c>
      <c r="D35" s="120" t="s">
        <v>21</v>
      </c>
      <c r="E35" s="121"/>
      <c r="F35" s="118">
        <v>154264</v>
      </c>
      <c r="G35" s="118">
        <v>509698</v>
      </c>
      <c r="H35" s="122">
        <v>1.4285000000000001</v>
      </c>
      <c r="I35" s="123"/>
      <c r="J35" s="123"/>
      <c r="K35" s="123"/>
      <c r="L35" s="123"/>
      <c r="M35" s="124">
        <v>1.4285000000000001</v>
      </c>
      <c r="N35" s="125"/>
    </row>
    <row r="36" spans="1:14" x14ac:dyDescent="0.2">
      <c r="A36"/>
      <c r="B36"/>
      <c r="C36"/>
      <c r="D36"/>
      <c r="E36" s="7"/>
      <c r="F36"/>
      <c r="G36"/>
      <c r="H36" s="10"/>
      <c r="I36" s="10"/>
      <c r="J36" s="10"/>
      <c r="K36" s="10"/>
      <c r="L36" s="10"/>
      <c r="M36" s="51"/>
    </row>
    <row r="37" spans="1:14" x14ac:dyDescent="0.2">
      <c r="A37"/>
      <c r="B37"/>
      <c r="C37"/>
      <c r="D37"/>
      <c r="E37" s="7"/>
      <c r="F37"/>
      <c r="G37"/>
      <c r="H37" s="10"/>
      <c r="I37" s="10"/>
      <c r="J37" s="10"/>
      <c r="K37" s="10"/>
      <c r="L37" s="10"/>
      <c r="M37" s="51"/>
    </row>
    <row r="38" spans="1:14" x14ac:dyDescent="0.2">
      <c r="A38"/>
      <c r="B38"/>
      <c r="C38"/>
      <c r="D38"/>
      <c r="E38" s="7"/>
      <c r="F38"/>
      <c r="G38"/>
      <c r="H38" s="10"/>
      <c r="I38" s="10"/>
      <c r="J38" s="10"/>
      <c r="K38" s="10"/>
      <c r="L38" s="10"/>
      <c r="M38" s="51"/>
    </row>
    <row r="39" spans="1:14" x14ac:dyDescent="0.2">
      <c r="A39"/>
      <c r="B39"/>
      <c r="C39"/>
      <c r="D39"/>
      <c r="E39" s="7"/>
      <c r="F39"/>
      <c r="G39"/>
      <c r="H39" s="10"/>
      <c r="I39" s="10"/>
      <c r="J39" s="10"/>
      <c r="K39" s="10"/>
      <c r="L39" s="10"/>
      <c r="M39" s="51"/>
    </row>
    <row r="40" spans="1:14" x14ac:dyDescent="0.2">
      <c r="A40"/>
      <c r="B40"/>
      <c r="C40"/>
      <c r="D40"/>
      <c r="E40" s="7"/>
      <c r="F40"/>
      <c r="G40"/>
      <c r="H40" s="10"/>
      <c r="I40" s="10"/>
      <c r="J40" s="10"/>
      <c r="K40" s="10"/>
      <c r="L40" s="10"/>
      <c r="M40" s="51"/>
    </row>
    <row r="41" spans="1:14" x14ac:dyDescent="0.2">
      <c r="A41"/>
      <c r="B41"/>
      <c r="C41"/>
      <c r="D41"/>
      <c r="E41" s="7"/>
      <c r="F41"/>
      <c r="G41"/>
      <c r="H41" s="10"/>
      <c r="I41" s="10"/>
      <c r="J41" s="10"/>
      <c r="K41" s="10"/>
      <c r="L41" s="10"/>
      <c r="M41" s="51"/>
    </row>
    <row r="42" spans="1:14" x14ac:dyDescent="0.2">
      <c r="A42"/>
      <c r="B42"/>
      <c r="C42"/>
      <c r="D42"/>
      <c r="E42" s="7"/>
      <c r="F42"/>
      <c r="G42"/>
      <c r="H42" s="10"/>
      <c r="I42" s="10"/>
      <c r="J42" s="10"/>
      <c r="K42" s="10"/>
      <c r="L42" s="10"/>
      <c r="M42" s="51"/>
    </row>
    <row r="43" spans="1:14" x14ac:dyDescent="0.2">
      <c r="A43"/>
      <c r="B43"/>
      <c r="C43"/>
      <c r="D43"/>
      <c r="E43" s="7"/>
      <c r="F43"/>
      <c r="G43"/>
      <c r="H43" s="10"/>
      <c r="I43" s="10"/>
      <c r="J43" s="10"/>
      <c r="K43" s="10"/>
      <c r="L43" s="10"/>
      <c r="M43" s="51"/>
    </row>
    <row r="44" spans="1:14" x14ac:dyDescent="0.2">
      <c r="A44"/>
      <c r="B44"/>
      <c r="C44"/>
      <c r="D44"/>
      <c r="E44" s="7"/>
      <c r="F44"/>
      <c r="G44"/>
      <c r="H44" s="10"/>
      <c r="I44" s="10"/>
      <c r="J44" s="10"/>
      <c r="K44" s="10"/>
      <c r="L44" s="10"/>
      <c r="M44" s="51"/>
    </row>
    <row r="45" spans="1:14" x14ac:dyDescent="0.2">
      <c r="A45"/>
      <c r="B45"/>
      <c r="C45"/>
      <c r="D45"/>
      <c r="E45" s="7"/>
      <c r="F45"/>
      <c r="G45"/>
      <c r="H45" s="10"/>
      <c r="I45" s="10"/>
      <c r="J45" s="10"/>
      <c r="K45" s="10"/>
      <c r="L45" s="10"/>
      <c r="M45" s="51"/>
    </row>
    <row r="46" spans="1:14" x14ac:dyDescent="0.2">
      <c r="A46"/>
      <c r="B46"/>
      <c r="C46"/>
      <c r="D46"/>
      <c r="E46" s="7"/>
      <c r="F46"/>
      <c r="G46"/>
      <c r="H46" s="10"/>
      <c r="I46" s="10"/>
      <c r="J46" s="10"/>
      <c r="K46" s="10"/>
      <c r="L46" s="10"/>
      <c r="M46" s="51"/>
    </row>
    <row r="47" spans="1:14" x14ac:dyDescent="0.2">
      <c r="A47"/>
      <c r="B47"/>
      <c r="C47"/>
      <c r="D47"/>
      <c r="E47" s="7"/>
      <c r="F47"/>
      <c r="G47"/>
      <c r="H47" s="10"/>
      <c r="I47" s="10"/>
      <c r="J47" s="10"/>
      <c r="K47" s="10"/>
      <c r="L47" s="10"/>
      <c r="M47" s="51"/>
    </row>
    <row r="48" spans="1:14" x14ac:dyDescent="0.2">
      <c r="A48"/>
      <c r="B48"/>
      <c r="C48"/>
      <c r="D48"/>
      <c r="E48" s="7"/>
      <c r="F48"/>
      <c r="G48"/>
      <c r="H48" s="10"/>
      <c r="I48" s="10"/>
      <c r="J48" s="10"/>
      <c r="K48" s="10"/>
      <c r="L48" s="10"/>
      <c r="M48" s="51"/>
    </row>
    <row r="49" spans="1:13" x14ac:dyDescent="0.2">
      <c r="A49"/>
      <c r="B49"/>
      <c r="C49"/>
      <c r="D49"/>
      <c r="E49" s="7"/>
      <c r="F49"/>
      <c r="G49"/>
      <c r="H49" s="10"/>
      <c r="I49" s="10"/>
      <c r="J49" s="10"/>
      <c r="K49" s="10"/>
      <c r="L49" s="10"/>
      <c r="M49" s="51"/>
    </row>
    <row r="50" spans="1:13" x14ac:dyDescent="0.2">
      <c r="A50"/>
      <c r="B50"/>
      <c r="C50"/>
      <c r="D50"/>
      <c r="E50" s="7"/>
      <c r="F50"/>
      <c r="G50"/>
      <c r="H50" s="10"/>
      <c r="I50" s="10"/>
      <c r="J50" s="10"/>
      <c r="K50" s="10"/>
      <c r="L50" s="10"/>
      <c r="M50" s="51"/>
    </row>
    <row r="51" spans="1:13" x14ac:dyDescent="0.2">
      <c r="A51"/>
      <c r="B51"/>
      <c r="C51"/>
      <c r="D51"/>
      <c r="E51" s="7"/>
      <c r="F51"/>
      <c r="G51"/>
      <c r="H51" s="10"/>
      <c r="I51" s="10"/>
      <c r="J51" s="10"/>
      <c r="K51" s="10"/>
      <c r="L51" s="10"/>
      <c r="M51" s="51"/>
    </row>
    <row r="52" spans="1:13" x14ac:dyDescent="0.2">
      <c r="A52"/>
      <c r="B52"/>
      <c r="C52"/>
      <c r="D52"/>
      <c r="E52" s="7"/>
      <c r="F52"/>
      <c r="G52"/>
      <c r="H52" s="10"/>
      <c r="I52" s="10"/>
      <c r="J52" s="10"/>
      <c r="K52" s="10"/>
      <c r="L52" s="10"/>
      <c r="M52" s="51"/>
    </row>
    <row r="53" spans="1:13" x14ac:dyDescent="0.2">
      <c r="A53"/>
      <c r="B53"/>
      <c r="C53"/>
      <c r="D53"/>
      <c r="E53" s="7"/>
      <c r="F53"/>
      <c r="G53"/>
      <c r="H53" s="10"/>
      <c r="I53" s="10"/>
      <c r="J53" s="10"/>
      <c r="K53" s="10"/>
      <c r="L53" s="10"/>
      <c r="M53" s="51"/>
    </row>
    <row r="54" spans="1:13" x14ac:dyDescent="0.2">
      <c r="A54"/>
      <c r="B54"/>
      <c r="C54"/>
      <c r="D54"/>
      <c r="E54" s="7"/>
      <c r="F54"/>
      <c r="G54"/>
      <c r="H54" s="10"/>
      <c r="I54" s="10"/>
      <c r="J54" s="10"/>
      <c r="K54" s="10"/>
      <c r="L54" s="10"/>
      <c r="M54" s="51"/>
    </row>
    <row r="55" spans="1:13" ht="33.75" customHeight="1" x14ac:dyDescent="0.2">
      <c r="A55"/>
      <c r="B55"/>
      <c r="C55"/>
      <c r="D55"/>
      <c r="E55" s="7"/>
      <c r="F55"/>
      <c r="G55"/>
      <c r="H55" s="10"/>
      <c r="I55" s="10"/>
      <c r="J55" s="10"/>
      <c r="K55" s="10"/>
      <c r="L55" s="10"/>
      <c r="M55" s="51"/>
    </row>
    <row r="56" spans="1:13" x14ac:dyDescent="0.2">
      <c r="A56"/>
      <c r="B56"/>
      <c r="C56"/>
      <c r="D56"/>
      <c r="E56" s="7"/>
      <c r="F56"/>
      <c r="G56"/>
      <c r="H56" s="10"/>
      <c r="I56" s="10"/>
      <c r="J56" s="10"/>
      <c r="K56" s="10"/>
      <c r="L56" s="10"/>
      <c r="M56" s="51"/>
    </row>
    <row r="57" spans="1:13" x14ac:dyDescent="0.2">
      <c r="A57"/>
      <c r="B57"/>
      <c r="C57"/>
      <c r="D57"/>
      <c r="E57" s="7"/>
      <c r="F57"/>
      <c r="G57"/>
      <c r="H57" s="10"/>
      <c r="I57" s="10"/>
      <c r="J57" s="10"/>
      <c r="K57" s="10"/>
      <c r="L57" s="10"/>
      <c r="M57" s="51"/>
    </row>
    <row r="58" spans="1:13" x14ac:dyDescent="0.2">
      <c r="A58"/>
      <c r="B58"/>
      <c r="C58"/>
      <c r="D58"/>
      <c r="E58" s="7"/>
      <c r="F58"/>
      <c r="G58"/>
      <c r="H58" s="10"/>
      <c r="I58" s="10"/>
      <c r="J58" s="10"/>
      <c r="K58" s="10"/>
      <c r="L58" s="10"/>
      <c r="M58" s="51"/>
    </row>
    <row r="59" spans="1:13" x14ac:dyDescent="0.2">
      <c r="A59"/>
      <c r="B59"/>
      <c r="C59"/>
      <c r="D59"/>
      <c r="E59" s="7"/>
      <c r="F59"/>
      <c r="G59"/>
      <c r="H59" s="10"/>
      <c r="I59" s="10"/>
      <c r="J59" s="10"/>
      <c r="K59" s="10"/>
      <c r="L59" s="10"/>
      <c r="M59" s="51"/>
    </row>
    <row r="60" spans="1:13" x14ac:dyDescent="0.2">
      <c r="A60"/>
      <c r="B60"/>
      <c r="C60"/>
      <c r="D60"/>
      <c r="E60" s="7"/>
      <c r="F60"/>
      <c r="G60"/>
      <c r="H60" s="10"/>
      <c r="I60" s="10"/>
      <c r="J60" s="10"/>
      <c r="K60" s="10"/>
      <c r="L60" s="10"/>
      <c r="M60" s="51"/>
    </row>
    <row r="61" spans="1:13" x14ac:dyDescent="0.2">
      <c r="A61"/>
      <c r="B61"/>
      <c r="C61"/>
      <c r="D61"/>
      <c r="E61" s="7"/>
      <c r="F61"/>
      <c r="G61"/>
      <c r="H61" s="10"/>
      <c r="I61" s="10"/>
      <c r="J61" s="10"/>
      <c r="K61" s="10"/>
      <c r="L61" s="10"/>
      <c r="M61" s="51"/>
    </row>
    <row r="62" spans="1:13" x14ac:dyDescent="0.2">
      <c r="A62"/>
      <c r="B62"/>
      <c r="C62"/>
      <c r="D62"/>
      <c r="E62" s="7"/>
      <c r="F62"/>
      <c r="G62"/>
      <c r="H62" s="10"/>
      <c r="I62" s="10"/>
      <c r="J62" s="10"/>
      <c r="K62" s="10"/>
      <c r="L62" s="10"/>
      <c r="M62" s="51"/>
    </row>
    <row r="63" spans="1:13" x14ac:dyDescent="0.2">
      <c r="A63"/>
      <c r="B63"/>
      <c r="C63"/>
      <c r="D63"/>
      <c r="E63" s="7"/>
      <c r="F63"/>
      <c r="G63"/>
      <c r="H63" s="10"/>
      <c r="I63" s="10"/>
      <c r="J63" s="10"/>
      <c r="K63" s="10"/>
      <c r="L63" s="10"/>
      <c r="M63" s="51"/>
    </row>
    <row r="64" spans="1:13" x14ac:dyDescent="0.2">
      <c r="A64"/>
      <c r="B64"/>
      <c r="C64"/>
      <c r="D64"/>
      <c r="E64" s="7"/>
      <c r="F64"/>
      <c r="G64"/>
      <c r="H64" s="10"/>
      <c r="I64" s="10"/>
      <c r="J64" s="10"/>
      <c r="K64" s="10"/>
      <c r="L64" s="10"/>
      <c r="M64" s="51"/>
    </row>
    <row r="65" spans="1:13" x14ac:dyDescent="0.2">
      <c r="A65"/>
      <c r="B65"/>
      <c r="C65"/>
      <c r="D65"/>
      <c r="E65" s="7"/>
      <c r="F65"/>
      <c r="G65"/>
      <c r="H65" s="10"/>
      <c r="I65" s="10"/>
      <c r="J65" s="10"/>
      <c r="K65" s="10"/>
      <c r="L65" s="10"/>
      <c r="M65" s="51"/>
    </row>
    <row r="66" spans="1:13" x14ac:dyDescent="0.2">
      <c r="A66"/>
      <c r="B66"/>
      <c r="C66"/>
      <c r="D66"/>
      <c r="E66" s="7"/>
      <c r="F66"/>
      <c r="G66"/>
      <c r="H66" s="10"/>
      <c r="I66" s="10"/>
      <c r="J66" s="10"/>
      <c r="K66" s="10"/>
      <c r="L66" s="10"/>
      <c r="M66" s="51"/>
    </row>
    <row r="67" spans="1:13" ht="58.5" customHeight="1" x14ac:dyDescent="0.2">
      <c r="A67"/>
      <c r="B67"/>
      <c r="C67"/>
      <c r="D67"/>
      <c r="E67" s="7"/>
      <c r="F67"/>
      <c r="G67"/>
      <c r="H67" s="10"/>
      <c r="I67" s="10"/>
      <c r="J67" s="10"/>
      <c r="K67" s="10"/>
      <c r="L67" s="10"/>
      <c r="M67" s="51"/>
    </row>
    <row r="68" spans="1:13" x14ac:dyDescent="0.2">
      <c r="A68"/>
      <c r="B68"/>
      <c r="C68"/>
      <c r="D68"/>
      <c r="E68" s="7"/>
      <c r="F68"/>
      <c r="G68"/>
      <c r="H68" s="10"/>
      <c r="I68" s="10"/>
      <c r="J68" s="10"/>
      <c r="K68" s="10"/>
      <c r="L68" s="10"/>
      <c r="M68" s="51"/>
    </row>
    <row r="69" spans="1:13" x14ac:dyDescent="0.2">
      <c r="A69"/>
      <c r="B69"/>
      <c r="C69"/>
      <c r="D69"/>
      <c r="E69" s="7"/>
      <c r="F69"/>
      <c r="G69"/>
      <c r="H69" s="10"/>
      <c r="I69" s="10"/>
      <c r="J69" s="10"/>
      <c r="K69" s="10"/>
      <c r="L69" s="10"/>
      <c r="M69" s="51"/>
    </row>
    <row r="70" spans="1:13" x14ac:dyDescent="0.2">
      <c r="A70"/>
      <c r="B70"/>
      <c r="C70"/>
      <c r="D70"/>
      <c r="E70" s="7"/>
      <c r="F70"/>
      <c r="G70"/>
      <c r="H70" s="10"/>
      <c r="I70" s="10"/>
      <c r="J70" s="10"/>
      <c r="K70" s="10"/>
      <c r="L70" s="10"/>
      <c r="M70" s="51"/>
    </row>
    <row r="71" spans="1:13" x14ac:dyDescent="0.2">
      <c r="A71"/>
      <c r="B71"/>
      <c r="C71"/>
      <c r="D71"/>
      <c r="E71" s="7"/>
      <c r="F71"/>
      <c r="G71"/>
      <c r="H71" s="10"/>
      <c r="I71" s="10"/>
      <c r="J71" s="10"/>
      <c r="K71" s="10"/>
      <c r="L71" s="10"/>
      <c r="M71" s="51"/>
    </row>
    <row r="72" spans="1:13" x14ac:dyDescent="0.2">
      <c r="A72"/>
      <c r="B72"/>
      <c r="C72"/>
      <c r="D72"/>
      <c r="E72" s="7"/>
      <c r="F72"/>
      <c r="G72"/>
      <c r="H72" s="10"/>
      <c r="I72" s="10"/>
      <c r="J72" s="10"/>
      <c r="K72" s="10"/>
      <c r="L72" s="10"/>
      <c r="M72" s="51"/>
    </row>
    <row r="73" spans="1:13" x14ac:dyDescent="0.2">
      <c r="A73"/>
      <c r="B73"/>
      <c r="C73"/>
      <c r="D73"/>
      <c r="E73" s="7"/>
      <c r="F73"/>
      <c r="G73"/>
      <c r="H73" s="10"/>
      <c r="I73" s="10"/>
      <c r="J73" s="10"/>
      <c r="K73" s="10"/>
      <c r="L73" s="10"/>
      <c r="M73" s="51"/>
    </row>
    <row r="74" spans="1:13" x14ac:dyDescent="0.2">
      <c r="A74"/>
      <c r="B74"/>
      <c r="C74"/>
      <c r="D74"/>
      <c r="E74" s="7"/>
      <c r="F74"/>
      <c r="G74"/>
      <c r="H74" s="10"/>
      <c r="I74" s="10"/>
      <c r="J74" s="10"/>
      <c r="K74" s="10"/>
      <c r="L74" s="10"/>
      <c r="M74" s="51"/>
    </row>
    <row r="75" spans="1:13" x14ac:dyDescent="0.2">
      <c r="A75"/>
      <c r="B75"/>
      <c r="C75"/>
      <c r="D75"/>
      <c r="E75" s="7"/>
      <c r="F75"/>
      <c r="G75"/>
      <c r="H75" s="10"/>
      <c r="I75" s="10"/>
      <c r="J75" s="10"/>
      <c r="K75" s="10"/>
      <c r="L75" s="10"/>
      <c r="M75" s="51"/>
    </row>
    <row r="76" spans="1:13" x14ac:dyDescent="0.2">
      <c r="A76"/>
      <c r="B76"/>
      <c r="C76"/>
      <c r="D76"/>
      <c r="E76" s="7"/>
      <c r="F76"/>
      <c r="G76"/>
      <c r="H76" s="10"/>
      <c r="I76" s="10"/>
      <c r="J76" s="10"/>
      <c r="K76" s="10"/>
      <c r="L76" s="10"/>
      <c r="M76" s="51"/>
    </row>
    <row r="77" spans="1:13" x14ac:dyDescent="0.2">
      <c r="A77"/>
      <c r="B77"/>
      <c r="C77"/>
      <c r="D77"/>
      <c r="E77" s="7"/>
      <c r="F77"/>
      <c r="G77"/>
      <c r="H77" s="10"/>
      <c r="I77" s="10"/>
      <c r="J77" s="10"/>
      <c r="K77" s="10"/>
      <c r="L77" s="10"/>
      <c r="M77" s="51"/>
    </row>
    <row r="78" spans="1:13" x14ac:dyDescent="0.2">
      <c r="A78"/>
      <c r="B78"/>
      <c r="C78"/>
      <c r="D78"/>
      <c r="E78" s="7"/>
      <c r="F78"/>
      <c r="G78"/>
      <c r="H78" s="10"/>
      <c r="I78" s="10"/>
      <c r="J78" s="10"/>
      <c r="K78" s="10"/>
      <c r="L78" s="10"/>
      <c r="M78" s="51"/>
    </row>
    <row r="79" spans="1:13" x14ac:dyDescent="0.2">
      <c r="A79"/>
      <c r="B79"/>
      <c r="C79"/>
      <c r="D79"/>
      <c r="E79" s="7"/>
      <c r="F79"/>
      <c r="G79"/>
      <c r="H79" s="10"/>
      <c r="I79" s="10"/>
      <c r="J79" s="10"/>
      <c r="K79" s="10"/>
      <c r="L79" s="10"/>
      <c r="M79" s="51"/>
    </row>
    <row r="80" spans="1:13" x14ac:dyDescent="0.2">
      <c r="A80"/>
      <c r="B80"/>
      <c r="C80"/>
      <c r="D80"/>
      <c r="E80" s="7"/>
      <c r="F80"/>
      <c r="G80"/>
      <c r="H80" s="10"/>
      <c r="I80" s="10"/>
      <c r="J80" s="10"/>
      <c r="K80" s="10"/>
      <c r="L80" s="10"/>
      <c r="M80" s="51"/>
    </row>
    <row r="81" spans="1:13" x14ac:dyDescent="0.2">
      <c r="A81"/>
      <c r="B81"/>
      <c r="C81"/>
      <c r="D81"/>
      <c r="E81" s="7"/>
      <c r="F81"/>
      <c r="G81"/>
      <c r="H81" s="10"/>
      <c r="I81" s="10"/>
      <c r="J81" s="10"/>
      <c r="K81" s="10"/>
      <c r="L81" s="10"/>
      <c r="M81" s="51"/>
    </row>
    <row r="82" spans="1:13" ht="42.75" customHeight="1" x14ac:dyDescent="0.2">
      <c r="A82"/>
      <c r="B82"/>
      <c r="C82"/>
      <c r="D82"/>
      <c r="E82" s="7"/>
      <c r="F82"/>
      <c r="G82"/>
      <c r="H82" s="10"/>
      <c r="I82" s="10"/>
      <c r="J82" s="10"/>
      <c r="K82" s="10"/>
      <c r="L82" s="10"/>
      <c r="M82" s="51"/>
    </row>
    <row r="83" spans="1:13" x14ac:dyDescent="0.2">
      <c r="A83"/>
      <c r="B83"/>
      <c r="C83"/>
      <c r="D83"/>
      <c r="E83" s="7"/>
      <c r="F83"/>
      <c r="G83"/>
      <c r="H83" s="10"/>
      <c r="I83" s="10"/>
      <c r="J83" s="10"/>
      <c r="K83" s="10"/>
      <c r="L83" s="10"/>
      <c r="M83" s="51"/>
    </row>
    <row r="84" spans="1:13" ht="12.75" customHeight="1" x14ac:dyDescent="0.2">
      <c r="A84"/>
      <c r="B84"/>
      <c r="C84"/>
      <c r="D84"/>
      <c r="E84" s="7"/>
      <c r="F84"/>
      <c r="G84"/>
      <c r="H84" s="10"/>
      <c r="I84" s="10"/>
      <c r="J84" s="10"/>
      <c r="K84" s="10"/>
      <c r="L84" s="10"/>
      <c r="M84" s="51"/>
    </row>
    <row r="85" spans="1:13" ht="12.75" customHeight="1" x14ac:dyDescent="0.2">
      <c r="A85"/>
      <c r="B85"/>
      <c r="C85"/>
      <c r="D85"/>
      <c r="E85" s="7"/>
      <c r="F85"/>
      <c r="G85"/>
      <c r="H85" s="10"/>
      <c r="I85" s="10"/>
      <c r="J85" s="10"/>
      <c r="K85" s="10"/>
      <c r="L85" s="10"/>
      <c r="M85" s="51"/>
    </row>
    <row r="86" spans="1:13" x14ac:dyDescent="0.2">
      <c r="A86"/>
      <c r="B86"/>
      <c r="C86"/>
      <c r="D86"/>
      <c r="E86" s="7"/>
      <c r="F86"/>
      <c r="G86"/>
      <c r="H86" s="10"/>
      <c r="I86" s="10"/>
      <c r="J86" s="10"/>
      <c r="K86" s="10"/>
      <c r="L86" s="10"/>
      <c r="M86" s="51"/>
    </row>
    <row r="87" spans="1:13" x14ac:dyDescent="0.2">
      <c r="A87"/>
      <c r="B87"/>
      <c r="C87"/>
      <c r="D87"/>
      <c r="E87" s="7"/>
      <c r="F87"/>
      <c r="G87"/>
      <c r="H87" s="10"/>
      <c r="I87" s="10"/>
      <c r="J87" s="10"/>
      <c r="K87" s="10"/>
      <c r="L87" s="10"/>
      <c r="M87" s="51"/>
    </row>
    <row r="88" spans="1:13" x14ac:dyDescent="0.2">
      <c r="A88"/>
      <c r="B88"/>
      <c r="C88"/>
      <c r="D88"/>
      <c r="E88" s="7"/>
      <c r="F88"/>
      <c r="G88"/>
      <c r="H88" s="10"/>
      <c r="I88" s="10"/>
      <c r="J88" s="10"/>
      <c r="K88" s="10"/>
      <c r="L88" s="10"/>
      <c r="M88" s="51"/>
    </row>
    <row r="89" spans="1:13" x14ac:dyDescent="0.2">
      <c r="A89"/>
      <c r="B89"/>
      <c r="C89"/>
      <c r="D89"/>
      <c r="E89" s="7"/>
      <c r="F89"/>
      <c r="G89"/>
      <c r="H89" s="10"/>
      <c r="I89" s="10"/>
      <c r="J89" s="10"/>
      <c r="K89" s="10"/>
      <c r="L89" s="10"/>
      <c r="M89" s="51"/>
    </row>
    <row r="90" spans="1:13" x14ac:dyDescent="0.2">
      <c r="A90"/>
      <c r="B90"/>
      <c r="C90"/>
      <c r="D90"/>
      <c r="E90" s="7"/>
      <c r="F90"/>
      <c r="G90"/>
      <c r="H90" s="10"/>
      <c r="I90" s="10"/>
      <c r="J90" s="10"/>
      <c r="K90" s="10"/>
      <c r="L90" s="10"/>
      <c r="M90" s="51"/>
    </row>
    <row r="91" spans="1:13" x14ac:dyDescent="0.2">
      <c r="A91"/>
      <c r="B91"/>
      <c r="C91"/>
      <c r="D91"/>
      <c r="E91" s="7"/>
      <c r="F91"/>
      <c r="G91"/>
      <c r="H91" s="10"/>
      <c r="I91" s="10"/>
      <c r="J91" s="10"/>
      <c r="K91" s="10"/>
      <c r="L91" s="10"/>
      <c r="M91" s="51"/>
    </row>
    <row r="92" spans="1:13" x14ac:dyDescent="0.2">
      <c r="A92"/>
      <c r="B92"/>
      <c r="C92"/>
      <c r="D92"/>
      <c r="E92" s="7"/>
      <c r="F92"/>
      <c r="G92"/>
      <c r="H92" s="10"/>
      <c r="I92" s="10"/>
      <c r="J92" s="10"/>
      <c r="K92" s="10"/>
      <c r="L92" s="10"/>
      <c r="M92" s="51"/>
    </row>
    <row r="93" spans="1:13" x14ac:dyDescent="0.2">
      <c r="A93"/>
      <c r="B93"/>
      <c r="C93"/>
      <c r="D93"/>
      <c r="E93" s="7"/>
      <c r="F93"/>
      <c r="G93"/>
      <c r="H93" s="10"/>
      <c r="I93" s="10"/>
      <c r="J93" s="10"/>
      <c r="K93" s="10"/>
      <c r="L93" s="10"/>
      <c r="M93" s="51"/>
    </row>
    <row r="94" spans="1:13" x14ac:dyDescent="0.2">
      <c r="A94"/>
      <c r="B94"/>
      <c r="C94"/>
      <c r="D94"/>
      <c r="E94" s="7"/>
      <c r="F94"/>
      <c r="G94"/>
      <c r="H94" s="10"/>
      <c r="I94" s="10"/>
      <c r="J94" s="10"/>
      <c r="K94" s="10"/>
      <c r="L94" s="10"/>
      <c r="M94" s="51"/>
    </row>
    <row r="95" spans="1:13" x14ac:dyDescent="0.2">
      <c r="A95"/>
      <c r="B95"/>
      <c r="C95"/>
      <c r="D95"/>
      <c r="E95" s="7"/>
      <c r="F95"/>
      <c r="G95"/>
      <c r="H95" s="10"/>
      <c r="I95" s="10"/>
      <c r="J95" s="10"/>
      <c r="K95" s="10"/>
      <c r="L95" s="10"/>
      <c r="M95" s="51"/>
    </row>
    <row r="96" spans="1:13" x14ac:dyDescent="0.2">
      <c r="A96"/>
      <c r="B96"/>
      <c r="C96"/>
      <c r="D96"/>
      <c r="E96" s="7"/>
      <c r="F96"/>
      <c r="G96"/>
      <c r="H96" s="10"/>
      <c r="I96" s="10"/>
      <c r="J96" s="10"/>
      <c r="K96" s="10"/>
      <c r="L96" s="10"/>
      <c r="M96" s="51"/>
    </row>
    <row r="97" spans="1:13" x14ac:dyDescent="0.2">
      <c r="A97"/>
      <c r="B97"/>
      <c r="C97"/>
      <c r="D97"/>
      <c r="E97" s="7"/>
      <c r="F97"/>
      <c r="G97"/>
      <c r="H97" s="10"/>
      <c r="I97" s="10"/>
      <c r="J97" s="10"/>
      <c r="K97" s="10"/>
      <c r="L97" s="10"/>
      <c r="M97" s="51"/>
    </row>
    <row r="98" spans="1:13" x14ac:dyDescent="0.2">
      <c r="A98"/>
      <c r="B98"/>
      <c r="C98"/>
      <c r="D98"/>
      <c r="E98" s="7"/>
      <c r="F98"/>
      <c r="G98"/>
      <c r="H98" s="10"/>
      <c r="I98" s="10"/>
      <c r="J98" s="10"/>
      <c r="K98" s="10"/>
      <c r="L98" s="10"/>
      <c r="M98" s="51"/>
    </row>
    <row r="99" spans="1:13" x14ac:dyDescent="0.2">
      <c r="A99"/>
      <c r="B99"/>
      <c r="C99"/>
      <c r="D99"/>
      <c r="E99" s="7"/>
      <c r="F99"/>
      <c r="G99"/>
      <c r="H99" s="10"/>
      <c r="I99" s="10"/>
      <c r="J99" s="10"/>
      <c r="K99" s="10"/>
      <c r="L99" s="10"/>
      <c r="M99" s="51"/>
    </row>
    <row r="100" spans="1:13" x14ac:dyDescent="0.2">
      <c r="A100"/>
      <c r="B100"/>
      <c r="C100"/>
      <c r="D100"/>
      <c r="E100" s="7"/>
      <c r="F100"/>
      <c r="G100"/>
      <c r="H100" s="10"/>
      <c r="I100" s="10"/>
      <c r="J100" s="10"/>
      <c r="K100" s="10"/>
      <c r="L100" s="10"/>
      <c r="M100" s="51"/>
    </row>
    <row r="101" spans="1:13" x14ac:dyDescent="0.2">
      <c r="A101"/>
      <c r="B101"/>
      <c r="C101"/>
      <c r="D101"/>
      <c r="E101" s="7"/>
      <c r="F101"/>
      <c r="G101"/>
      <c r="H101" s="10"/>
      <c r="I101" s="10"/>
      <c r="J101" s="10"/>
      <c r="K101" s="10"/>
      <c r="L101" s="10"/>
      <c r="M101" s="51"/>
    </row>
    <row r="102" spans="1:13" x14ac:dyDescent="0.2">
      <c r="A102"/>
      <c r="B102"/>
      <c r="C102"/>
      <c r="D102"/>
      <c r="E102" s="7"/>
      <c r="F102"/>
      <c r="G102"/>
      <c r="H102" s="10"/>
      <c r="I102" s="10"/>
      <c r="J102" s="10"/>
      <c r="K102" s="10"/>
      <c r="L102" s="10"/>
      <c r="M102" s="51"/>
    </row>
    <row r="103" spans="1:13" x14ac:dyDescent="0.2">
      <c r="A103"/>
      <c r="B103"/>
      <c r="C103"/>
      <c r="D103"/>
      <c r="E103" s="7"/>
      <c r="F103"/>
      <c r="G103"/>
      <c r="H103" s="10"/>
      <c r="I103" s="10"/>
      <c r="J103" s="10"/>
      <c r="K103" s="10"/>
      <c r="L103" s="10"/>
      <c r="M103" s="51"/>
    </row>
    <row r="104" spans="1:13" x14ac:dyDescent="0.2">
      <c r="A104"/>
      <c r="B104"/>
      <c r="C104"/>
      <c r="D104"/>
      <c r="E104" s="7"/>
      <c r="F104"/>
      <c r="G104"/>
      <c r="H104" s="10"/>
      <c r="I104" s="10"/>
      <c r="J104" s="10"/>
      <c r="K104" s="10"/>
      <c r="L104" s="10"/>
      <c r="M104" s="51"/>
    </row>
    <row r="105" spans="1:13" x14ac:dyDescent="0.2">
      <c r="A105"/>
      <c r="B105"/>
      <c r="C105"/>
      <c r="D105"/>
      <c r="E105" s="7"/>
      <c r="F105"/>
      <c r="G105"/>
      <c r="H105" s="10"/>
      <c r="I105" s="10"/>
      <c r="J105" s="10"/>
      <c r="K105" s="10"/>
      <c r="L105" s="10"/>
      <c r="M105" s="51"/>
    </row>
    <row r="106" spans="1:13" x14ac:dyDescent="0.2">
      <c r="A106"/>
      <c r="B106"/>
      <c r="C106"/>
      <c r="D106"/>
      <c r="E106" s="7"/>
      <c r="F106"/>
      <c r="G106"/>
      <c r="H106" s="10"/>
      <c r="I106" s="10"/>
      <c r="J106" s="10"/>
      <c r="K106" s="10"/>
      <c r="L106" s="10"/>
      <c r="M106" s="51"/>
    </row>
    <row r="107" spans="1:13" x14ac:dyDescent="0.2">
      <c r="A107"/>
      <c r="B107"/>
      <c r="C107"/>
      <c r="D107"/>
      <c r="E107" s="7"/>
      <c r="F107"/>
      <c r="G107"/>
      <c r="H107" s="10"/>
      <c r="I107" s="10"/>
      <c r="J107" s="10"/>
      <c r="K107" s="10"/>
      <c r="L107" s="10"/>
      <c r="M107" s="51"/>
    </row>
    <row r="108" spans="1:13" x14ac:dyDescent="0.2">
      <c r="A108"/>
      <c r="B108"/>
      <c r="C108"/>
      <c r="D108"/>
      <c r="E108" s="7"/>
      <c r="F108"/>
      <c r="G108"/>
      <c r="H108" s="10"/>
      <c r="I108" s="10"/>
      <c r="J108" s="10"/>
      <c r="K108" s="10"/>
      <c r="L108" s="10"/>
      <c r="M108" s="51"/>
    </row>
    <row r="109" spans="1:13" x14ac:dyDescent="0.2">
      <c r="A109"/>
      <c r="B109"/>
      <c r="C109"/>
      <c r="D109"/>
      <c r="E109" s="7"/>
      <c r="F109"/>
      <c r="G109"/>
      <c r="H109" s="10"/>
      <c r="I109" s="10"/>
      <c r="J109" s="10"/>
      <c r="K109" s="10"/>
      <c r="L109" s="10"/>
      <c r="M109" s="51"/>
    </row>
    <row r="110" spans="1:13" x14ac:dyDescent="0.2">
      <c r="A110"/>
      <c r="B110"/>
      <c r="C110"/>
      <c r="D110"/>
      <c r="E110" s="7"/>
      <c r="F110"/>
      <c r="G110"/>
      <c r="H110" s="10"/>
      <c r="I110" s="10"/>
      <c r="J110" s="10"/>
      <c r="K110" s="10"/>
      <c r="L110" s="10"/>
      <c r="M110" s="51"/>
    </row>
    <row r="111" spans="1:13" x14ac:dyDescent="0.2">
      <c r="A111"/>
      <c r="B111"/>
      <c r="C111"/>
      <c r="D111"/>
      <c r="E111" s="7"/>
      <c r="F111"/>
      <c r="G111"/>
      <c r="H111" s="10"/>
      <c r="I111" s="10"/>
      <c r="J111" s="10"/>
      <c r="K111" s="10"/>
      <c r="L111" s="10"/>
      <c r="M111" s="51"/>
    </row>
    <row r="112" spans="1:13" x14ac:dyDescent="0.2">
      <c r="A112"/>
      <c r="B112"/>
      <c r="C112"/>
      <c r="D112"/>
      <c r="E112" s="7"/>
      <c r="F112"/>
      <c r="G112"/>
      <c r="H112" s="10"/>
      <c r="I112" s="10"/>
      <c r="J112" s="10"/>
      <c r="K112" s="10"/>
      <c r="L112" s="10"/>
      <c r="M112" s="51"/>
    </row>
    <row r="113" spans="1:13" x14ac:dyDescent="0.2">
      <c r="A113"/>
      <c r="B113"/>
      <c r="C113"/>
      <c r="D113"/>
      <c r="E113" s="7"/>
      <c r="F113"/>
      <c r="G113"/>
      <c r="H113" s="10"/>
      <c r="I113" s="10"/>
      <c r="J113" s="10"/>
      <c r="K113" s="10"/>
      <c r="L113" s="10"/>
      <c r="M113" s="51"/>
    </row>
    <row r="114" spans="1:13" x14ac:dyDescent="0.2">
      <c r="A114"/>
      <c r="B114"/>
      <c r="C114"/>
      <c r="D114"/>
      <c r="E114" s="7"/>
      <c r="F114"/>
      <c r="G114"/>
      <c r="H114" s="10"/>
      <c r="I114" s="10"/>
      <c r="J114" s="10"/>
      <c r="K114" s="10"/>
      <c r="L114" s="10"/>
      <c r="M114" s="51"/>
    </row>
    <row r="115" spans="1:13" x14ac:dyDescent="0.2">
      <c r="A115"/>
      <c r="B115"/>
      <c r="C115"/>
      <c r="D115"/>
      <c r="E115" s="7"/>
      <c r="F115"/>
      <c r="G115"/>
      <c r="H115" s="10"/>
      <c r="I115" s="10"/>
      <c r="J115" s="10"/>
      <c r="K115" s="10"/>
      <c r="L115" s="10"/>
      <c r="M115" s="51"/>
    </row>
    <row r="116" spans="1:13" x14ac:dyDescent="0.2">
      <c r="A116"/>
      <c r="B116"/>
      <c r="C116"/>
      <c r="D116"/>
      <c r="E116" s="7"/>
      <c r="F116"/>
      <c r="G116"/>
      <c r="H116" s="10"/>
      <c r="I116" s="10"/>
      <c r="J116" s="10"/>
      <c r="K116" s="10"/>
      <c r="L116" s="10"/>
      <c r="M116" s="51"/>
    </row>
    <row r="117" spans="1:13" x14ac:dyDescent="0.2">
      <c r="A117"/>
      <c r="B117"/>
      <c r="C117"/>
      <c r="D117"/>
      <c r="E117" s="7"/>
      <c r="F117"/>
      <c r="G117"/>
      <c r="H117" s="10"/>
      <c r="I117" s="10"/>
      <c r="J117" s="10"/>
      <c r="K117" s="10"/>
      <c r="L117" s="10"/>
      <c r="M117" s="51"/>
    </row>
    <row r="118" spans="1:13" x14ac:dyDescent="0.2">
      <c r="A118"/>
      <c r="B118"/>
      <c r="C118"/>
      <c r="D118"/>
      <c r="E118" s="7"/>
      <c r="F118"/>
      <c r="G118"/>
      <c r="H118" s="10"/>
      <c r="I118" s="10"/>
      <c r="J118" s="10"/>
      <c r="K118" s="10"/>
      <c r="L118" s="10"/>
      <c r="M118" s="51"/>
    </row>
    <row r="119" spans="1:13" x14ac:dyDescent="0.2">
      <c r="A119"/>
      <c r="B119"/>
      <c r="C119"/>
      <c r="D119"/>
      <c r="E119" s="7"/>
      <c r="F119"/>
      <c r="G119"/>
      <c r="H119" s="10"/>
      <c r="I119" s="10"/>
      <c r="J119" s="10"/>
      <c r="K119" s="10"/>
      <c r="L119" s="10"/>
      <c r="M119" s="51"/>
    </row>
    <row r="120" spans="1:13" x14ac:dyDescent="0.2">
      <c r="A120"/>
      <c r="B120"/>
      <c r="C120"/>
      <c r="D120"/>
      <c r="E120" s="7"/>
      <c r="F120"/>
      <c r="G120"/>
      <c r="H120" s="10"/>
      <c r="I120" s="10"/>
      <c r="J120" s="10"/>
      <c r="K120" s="10"/>
      <c r="L120" s="10"/>
      <c r="M120" s="51"/>
    </row>
    <row r="121" spans="1:13" x14ac:dyDescent="0.2">
      <c r="A121"/>
      <c r="B121"/>
      <c r="C121"/>
      <c r="D121"/>
      <c r="E121" s="7"/>
      <c r="F121"/>
      <c r="G121"/>
      <c r="H121" s="10"/>
      <c r="I121" s="10"/>
      <c r="J121" s="10"/>
      <c r="K121" s="10"/>
      <c r="L121" s="10"/>
      <c r="M121" s="51"/>
    </row>
    <row r="122" spans="1:13" x14ac:dyDescent="0.2">
      <c r="A122"/>
      <c r="B122"/>
      <c r="C122"/>
      <c r="D122"/>
      <c r="E122" s="7"/>
      <c r="F122"/>
      <c r="G122"/>
      <c r="H122" s="10"/>
      <c r="I122" s="10"/>
      <c r="J122" s="10"/>
      <c r="K122" s="10"/>
      <c r="L122" s="10"/>
      <c r="M122" s="51"/>
    </row>
    <row r="123" spans="1:13" x14ac:dyDescent="0.2">
      <c r="A123"/>
      <c r="B123"/>
      <c r="C123"/>
      <c r="D123"/>
      <c r="E123" s="7"/>
      <c r="F123"/>
      <c r="G123"/>
      <c r="H123" s="10"/>
      <c r="I123" s="10"/>
      <c r="J123" s="10"/>
      <c r="K123" s="10"/>
      <c r="L123" s="10"/>
      <c r="M123" s="51"/>
    </row>
    <row r="124" spans="1:13" x14ac:dyDescent="0.2">
      <c r="A124"/>
      <c r="B124"/>
      <c r="C124"/>
      <c r="D124"/>
      <c r="E124" s="7"/>
      <c r="F124"/>
      <c r="G124"/>
      <c r="H124" s="10"/>
      <c r="I124" s="10"/>
      <c r="J124" s="10"/>
      <c r="K124" s="10"/>
      <c r="L124" s="10"/>
      <c r="M124" s="51"/>
    </row>
    <row r="125" spans="1:13" x14ac:dyDescent="0.2">
      <c r="A125"/>
      <c r="B125"/>
      <c r="C125"/>
      <c r="D125"/>
      <c r="E125" s="7"/>
      <c r="F125"/>
      <c r="G125"/>
      <c r="H125" s="10"/>
      <c r="I125" s="10"/>
      <c r="J125" s="10"/>
      <c r="K125" s="10"/>
      <c r="L125" s="10"/>
      <c r="M125" s="51"/>
    </row>
    <row r="126" spans="1:13" x14ac:dyDescent="0.2">
      <c r="A126"/>
      <c r="B126"/>
      <c r="C126"/>
      <c r="D126"/>
      <c r="E126" s="7"/>
      <c r="F126"/>
      <c r="G126"/>
      <c r="H126" s="10"/>
      <c r="I126" s="10"/>
      <c r="J126" s="10"/>
      <c r="K126" s="10"/>
      <c r="L126" s="10"/>
      <c r="M126" s="51"/>
    </row>
    <row r="127" spans="1:13" x14ac:dyDescent="0.2">
      <c r="A127"/>
      <c r="B127"/>
      <c r="C127"/>
      <c r="D127"/>
      <c r="E127" s="7"/>
      <c r="F127"/>
      <c r="G127"/>
      <c r="H127" s="10"/>
      <c r="I127" s="10"/>
      <c r="J127" s="10"/>
      <c r="K127" s="10"/>
      <c r="L127" s="10"/>
      <c r="M127" s="51"/>
    </row>
    <row r="128" spans="1:13" x14ac:dyDescent="0.2">
      <c r="A128"/>
      <c r="B128"/>
      <c r="C128"/>
      <c r="D128"/>
      <c r="E128" s="7"/>
      <c r="F128"/>
      <c r="G128"/>
      <c r="H128" s="10"/>
      <c r="I128" s="10"/>
      <c r="J128" s="10"/>
      <c r="K128" s="10"/>
      <c r="L128" s="10"/>
      <c r="M128" s="51"/>
    </row>
    <row r="129" spans="1:13" x14ac:dyDescent="0.2">
      <c r="A129"/>
      <c r="B129"/>
      <c r="C129"/>
      <c r="D129"/>
      <c r="E129" s="7"/>
      <c r="F129"/>
      <c r="G129"/>
      <c r="H129" s="10"/>
      <c r="I129" s="10"/>
      <c r="J129" s="10"/>
      <c r="K129" s="10"/>
      <c r="L129" s="10"/>
      <c r="M129" s="51"/>
    </row>
    <row r="130" spans="1:13" x14ac:dyDescent="0.2">
      <c r="A130"/>
      <c r="B130"/>
      <c r="C130"/>
      <c r="D130"/>
      <c r="E130" s="7"/>
      <c r="F130"/>
      <c r="G130"/>
      <c r="H130" s="10"/>
      <c r="I130" s="10"/>
      <c r="J130" s="10"/>
      <c r="K130" s="10"/>
      <c r="L130" s="10"/>
      <c r="M130" s="51"/>
    </row>
    <row r="131" spans="1:13" x14ac:dyDescent="0.2">
      <c r="A131"/>
      <c r="B131"/>
      <c r="C131"/>
      <c r="D131"/>
      <c r="E131" s="7"/>
      <c r="F131"/>
      <c r="G131"/>
      <c r="H131" s="10"/>
      <c r="I131" s="10"/>
      <c r="J131" s="10"/>
      <c r="K131" s="10"/>
      <c r="L131" s="10"/>
      <c r="M131" s="51"/>
    </row>
    <row r="132" spans="1:13" x14ac:dyDescent="0.2">
      <c r="A132"/>
      <c r="B132"/>
      <c r="C132"/>
      <c r="D132"/>
      <c r="E132" s="7"/>
      <c r="F132"/>
      <c r="G132"/>
      <c r="H132" s="10"/>
      <c r="I132" s="10"/>
      <c r="J132" s="10"/>
      <c r="K132" s="10"/>
      <c r="L132" s="10"/>
      <c r="M132" s="51"/>
    </row>
    <row r="133" spans="1:13" x14ac:dyDescent="0.2">
      <c r="A133"/>
      <c r="B133"/>
      <c r="C133"/>
      <c r="D133"/>
      <c r="E133" s="7"/>
      <c r="F133"/>
      <c r="G133"/>
      <c r="H133" s="10"/>
      <c r="I133" s="10"/>
      <c r="J133" s="10"/>
      <c r="K133" s="10"/>
      <c r="L133" s="10"/>
      <c r="M133" s="51"/>
    </row>
    <row r="134" spans="1:13" x14ac:dyDescent="0.2">
      <c r="A134"/>
      <c r="B134"/>
      <c r="C134"/>
      <c r="D134"/>
      <c r="E134" s="7"/>
      <c r="F134"/>
      <c r="G134"/>
      <c r="H134" s="10"/>
      <c r="I134" s="10"/>
      <c r="J134" s="10"/>
      <c r="K134" s="10"/>
      <c r="L134" s="10"/>
      <c r="M134" s="51"/>
    </row>
    <row r="135" spans="1:13" x14ac:dyDescent="0.2">
      <c r="A135"/>
      <c r="B135"/>
      <c r="C135"/>
      <c r="D135"/>
      <c r="E135" s="7"/>
      <c r="F135"/>
      <c r="G135"/>
      <c r="H135" s="10"/>
      <c r="I135" s="10"/>
      <c r="J135" s="10"/>
      <c r="K135" s="10"/>
      <c r="L135" s="10"/>
      <c r="M135" s="51"/>
    </row>
    <row r="136" spans="1:13" x14ac:dyDescent="0.2">
      <c r="A136"/>
      <c r="B136"/>
      <c r="C136"/>
      <c r="D136"/>
      <c r="E136" s="7"/>
      <c r="F136"/>
      <c r="G136"/>
      <c r="H136" s="10"/>
      <c r="I136" s="10"/>
      <c r="J136" s="10"/>
      <c r="K136" s="10"/>
      <c r="L136" s="10"/>
      <c r="M136" s="51"/>
    </row>
    <row r="137" spans="1:13" x14ac:dyDescent="0.2">
      <c r="A137"/>
      <c r="B137"/>
      <c r="C137"/>
      <c r="D137"/>
      <c r="E137" s="7"/>
      <c r="F137"/>
      <c r="G137"/>
      <c r="H137" s="10"/>
      <c r="I137" s="10"/>
      <c r="J137" s="10"/>
      <c r="K137" s="10"/>
      <c r="L137" s="10"/>
      <c r="M137" s="51"/>
    </row>
    <row r="138" spans="1:13" x14ac:dyDescent="0.2">
      <c r="A138"/>
      <c r="B138"/>
      <c r="C138"/>
      <c r="D138"/>
      <c r="E138" s="7"/>
      <c r="F138"/>
      <c r="G138"/>
      <c r="H138" s="10"/>
      <c r="I138" s="10"/>
      <c r="J138" s="10"/>
      <c r="K138" s="10"/>
      <c r="L138" s="10"/>
      <c r="M138" s="51"/>
    </row>
    <row r="139" spans="1:13" x14ac:dyDescent="0.2">
      <c r="A139"/>
      <c r="B139"/>
      <c r="C139"/>
      <c r="D139"/>
      <c r="E139" s="7"/>
      <c r="F139"/>
      <c r="G139"/>
      <c r="H139" s="10"/>
      <c r="I139" s="10"/>
      <c r="J139" s="10"/>
      <c r="K139" s="10"/>
      <c r="L139" s="10"/>
      <c r="M139" s="51"/>
    </row>
    <row r="140" spans="1:13" x14ac:dyDescent="0.2">
      <c r="A140"/>
      <c r="B140"/>
      <c r="C140"/>
      <c r="D140"/>
      <c r="E140" s="7"/>
      <c r="F140"/>
      <c r="G140"/>
      <c r="H140" s="10"/>
      <c r="I140" s="10"/>
      <c r="J140" s="10"/>
      <c r="K140" s="10"/>
      <c r="L140" s="10"/>
      <c r="M140" s="51"/>
    </row>
    <row r="141" spans="1:13" x14ac:dyDescent="0.2">
      <c r="A141"/>
      <c r="B141"/>
      <c r="C141"/>
      <c r="D141"/>
      <c r="E141" s="7"/>
      <c r="F141"/>
      <c r="G141"/>
      <c r="H141" s="10"/>
      <c r="I141" s="10"/>
      <c r="J141" s="10"/>
      <c r="K141" s="10"/>
      <c r="L141" s="10"/>
      <c r="M141" s="51"/>
    </row>
    <row r="142" spans="1:13" x14ac:dyDescent="0.2">
      <c r="A142"/>
      <c r="B142"/>
      <c r="C142"/>
      <c r="D142"/>
      <c r="E142" s="7"/>
      <c r="F142"/>
      <c r="G142"/>
      <c r="H142" s="10"/>
      <c r="I142" s="10"/>
      <c r="J142" s="10"/>
      <c r="K142" s="10"/>
      <c r="L142" s="10"/>
      <c r="M142" s="51"/>
    </row>
    <row r="143" spans="1:13" x14ac:dyDescent="0.2">
      <c r="A143"/>
      <c r="B143"/>
      <c r="C143"/>
      <c r="D143"/>
      <c r="E143" s="7"/>
      <c r="F143"/>
      <c r="G143"/>
      <c r="H143" s="10"/>
      <c r="I143" s="10"/>
      <c r="J143" s="10"/>
      <c r="K143" s="10"/>
      <c r="L143" s="10"/>
      <c r="M143" s="51"/>
    </row>
    <row r="144" spans="1:13" x14ac:dyDescent="0.2">
      <c r="A144"/>
      <c r="B144"/>
      <c r="C144"/>
      <c r="D144"/>
      <c r="E144" s="7"/>
      <c r="F144"/>
      <c r="G144"/>
      <c r="H144" s="10"/>
      <c r="I144" s="10"/>
      <c r="J144" s="10"/>
      <c r="K144" s="10"/>
      <c r="L144" s="10"/>
      <c r="M144" s="51"/>
    </row>
    <row r="145" spans="1:13" x14ac:dyDescent="0.2">
      <c r="A145"/>
      <c r="B145"/>
      <c r="C145"/>
      <c r="D145"/>
      <c r="E145" s="7"/>
      <c r="F145"/>
      <c r="G145"/>
      <c r="H145" s="10"/>
      <c r="I145" s="10"/>
      <c r="J145" s="10"/>
      <c r="K145" s="10"/>
      <c r="L145" s="10"/>
      <c r="M145" s="51"/>
    </row>
    <row r="146" spans="1:13" x14ac:dyDescent="0.2">
      <c r="A146"/>
      <c r="B146"/>
      <c r="C146"/>
      <c r="D146"/>
      <c r="E146" s="7"/>
      <c r="F146"/>
      <c r="G146"/>
      <c r="H146" s="10"/>
      <c r="I146" s="10"/>
      <c r="J146" s="10"/>
      <c r="K146" s="10"/>
      <c r="L146" s="10"/>
      <c r="M146" s="51"/>
    </row>
    <row r="147" spans="1:13" x14ac:dyDescent="0.2">
      <c r="A147"/>
      <c r="B147"/>
      <c r="C147"/>
      <c r="D147"/>
      <c r="E147" s="7"/>
      <c r="F147"/>
      <c r="G147"/>
      <c r="H147" s="10"/>
      <c r="I147" s="10"/>
      <c r="J147" s="10"/>
      <c r="K147" s="10"/>
      <c r="L147" s="10"/>
      <c r="M147" s="51"/>
    </row>
    <row r="148" spans="1:13" x14ac:dyDescent="0.2">
      <c r="A148"/>
      <c r="B148"/>
      <c r="C148"/>
      <c r="D148"/>
      <c r="E148" s="7"/>
      <c r="F148"/>
      <c r="G148"/>
      <c r="H148" s="10"/>
      <c r="I148" s="10"/>
      <c r="J148" s="10"/>
      <c r="K148" s="10"/>
      <c r="L148" s="10"/>
      <c r="M148" s="51"/>
    </row>
    <row r="149" spans="1:13" x14ac:dyDescent="0.2">
      <c r="A149"/>
      <c r="B149"/>
      <c r="C149"/>
      <c r="D149"/>
      <c r="E149" s="7"/>
      <c r="F149"/>
      <c r="G149"/>
      <c r="H149" s="10"/>
      <c r="I149" s="10"/>
      <c r="J149" s="10"/>
      <c r="K149" s="10"/>
      <c r="L149" s="10"/>
      <c r="M149" s="51"/>
    </row>
    <row r="150" spans="1:13" x14ac:dyDescent="0.2">
      <c r="A150"/>
      <c r="B150"/>
      <c r="C150"/>
      <c r="D150"/>
      <c r="E150" s="7"/>
      <c r="F150"/>
      <c r="G150"/>
      <c r="H150" s="10"/>
      <c r="I150" s="10"/>
      <c r="J150" s="10"/>
      <c r="K150" s="10"/>
      <c r="L150" s="10"/>
      <c r="M150" s="51"/>
    </row>
    <row r="151" spans="1:13" x14ac:dyDescent="0.2">
      <c r="A151"/>
      <c r="B151"/>
      <c r="C151"/>
      <c r="D151"/>
      <c r="E151" s="7"/>
      <c r="F151"/>
      <c r="G151"/>
      <c r="H151" s="10"/>
      <c r="I151" s="10"/>
      <c r="J151" s="10"/>
      <c r="K151" s="10"/>
      <c r="L151" s="10"/>
      <c r="M151" s="51"/>
    </row>
    <row r="152" spans="1:13" x14ac:dyDescent="0.2">
      <c r="A152"/>
      <c r="B152"/>
      <c r="C152"/>
      <c r="D152"/>
      <c r="E152" s="7"/>
      <c r="F152"/>
      <c r="G152"/>
      <c r="H152" s="10"/>
      <c r="I152" s="10"/>
      <c r="J152" s="10"/>
      <c r="K152" s="10"/>
      <c r="L152" s="10"/>
      <c r="M152" s="51"/>
    </row>
    <row r="153" spans="1:13" x14ac:dyDescent="0.2">
      <c r="A153"/>
      <c r="B153"/>
      <c r="C153"/>
      <c r="D153"/>
      <c r="E153" s="7"/>
      <c r="F153"/>
      <c r="G153"/>
      <c r="H153" s="10"/>
      <c r="I153" s="10"/>
      <c r="J153" s="10"/>
      <c r="K153" s="10"/>
      <c r="L153" s="10"/>
      <c r="M153" s="51"/>
    </row>
    <row r="154" spans="1:13" x14ac:dyDescent="0.2">
      <c r="A154"/>
      <c r="B154"/>
      <c r="C154"/>
      <c r="D154"/>
      <c r="E154" s="7"/>
      <c r="F154"/>
      <c r="G154"/>
      <c r="H154" s="10"/>
      <c r="I154" s="10"/>
      <c r="J154" s="10"/>
      <c r="K154" s="10"/>
      <c r="L154" s="10"/>
      <c r="M154" s="51"/>
    </row>
    <row r="155" spans="1:13" x14ac:dyDescent="0.2">
      <c r="A155"/>
      <c r="B155"/>
      <c r="C155"/>
      <c r="D155"/>
      <c r="E155" s="7"/>
      <c r="F155"/>
      <c r="G155"/>
      <c r="H155" s="10"/>
      <c r="I155" s="10"/>
      <c r="J155" s="10"/>
      <c r="K155" s="10"/>
      <c r="L155" s="10"/>
      <c r="M155" s="51"/>
    </row>
    <row r="156" spans="1:13" x14ac:dyDescent="0.2">
      <c r="A156"/>
      <c r="B156"/>
      <c r="C156"/>
      <c r="D156"/>
      <c r="E156" s="7"/>
      <c r="F156"/>
      <c r="G156"/>
      <c r="H156" s="10"/>
      <c r="I156" s="10"/>
      <c r="J156" s="10"/>
      <c r="K156" s="10"/>
      <c r="L156" s="10"/>
      <c r="M156" s="51"/>
    </row>
    <row r="157" spans="1:13" x14ac:dyDescent="0.2">
      <c r="A157"/>
      <c r="B157"/>
      <c r="C157"/>
      <c r="D157"/>
      <c r="E157" s="7"/>
      <c r="F157"/>
      <c r="G157"/>
      <c r="H157" s="10"/>
      <c r="I157" s="10"/>
      <c r="J157" s="10"/>
      <c r="K157" s="10"/>
      <c r="L157" s="10"/>
      <c r="M157" s="51"/>
    </row>
    <row r="158" spans="1:13" x14ac:dyDescent="0.2">
      <c r="A158"/>
      <c r="B158"/>
      <c r="C158"/>
      <c r="D158"/>
      <c r="E158" s="7"/>
      <c r="F158"/>
      <c r="G158"/>
      <c r="H158" s="10"/>
      <c r="I158" s="10"/>
      <c r="J158" s="10"/>
      <c r="K158" s="10"/>
      <c r="L158" s="10"/>
      <c r="M158" s="51"/>
    </row>
    <row r="159" spans="1:13" x14ac:dyDescent="0.2">
      <c r="A159"/>
      <c r="B159"/>
      <c r="C159"/>
      <c r="D159"/>
      <c r="E159" s="7"/>
      <c r="F159"/>
      <c r="G159"/>
      <c r="H159" s="10"/>
      <c r="I159" s="10"/>
      <c r="J159" s="10"/>
      <c r="K159" s="10"/>
      <c r="L159" s="10"/>
      <c r="M159" s="51"/>
    </row>
    <row r="160" spans="1:13" x14ac:dyDescent="0.2">
      <c r="A160"/>
      <c r="B160"/>
      <c r="C160"/>
      <c r="D160"/>
      <c r="E160" s="7"/>
      <c r="F160"/>
      <c r="G160"/>
      <c r="H160" s="10"/>
      <c r="I160" s="10"/>
      <c r="J160" s="10"/>
      <c r="K160" s="10"/>
      <c r="L160" s="10"/>
      <c r="M160" s="51"/>
    </row>
    <row r="161" spans="1:13" x14ac:dyDescent="0.2">
      <c r="A161"/>
      <c r="B161"/>
      <c r="C161"/>
      <c r="D161"/>
      <c r="E161" s="7"/>
      <c r="F161"/>
      <c r="G161"/>
      <c r="H161" s="10"/>
      <c r="I161" s="10"/>
      <c r="J161" s="10"/>
      <c r="K161" s="10"/>
      <c r="L161" s="10"/>
      <c r="M161" s="51"/>
    </row>
    <row r="162" spans="1:13" x14ac:dyDescent="0.2">
      <c r="A162"/>
      <c r="B162"/>
      <c r="C162"/>
      <c r="D162"/>
      <c r="E162" s="7"/>
      <c r="F162"/>
      <c r="G162"/>
      <c r="H162" s="10"/>
      <c r="I162" s="10"/>
      <c r="J162" s="10"/>
      <c r="K162" s="10"/>
      <c r="L162" s="10"/>
      <c r="M162" s="51"/>
    </row>
    <row r="163" spans="1:13" x14ac:dyDescent="0.2">
      <c r="A163"/>
      <c r="B163"/>
      <c r="C163"/>
      <c r="D163"/>
      <c r="E163" s="7"/>
      <c r="F163"/>
      <c r="G163"/>
      <c r="H163" s="10"/>
      <c r="I163" s="10"/>
      <c r="J163" s="10"/>
      <c r="K163" s="10"/>
      <c r="L163" s="10"/>
      <c r="M163" s="51"/>
    </row>
    <row r="164" spans="1:13" x14ac:dyDescent="0.2">
      <c r="A164"/>
      <c r="B164"/>
      <c r="C164"/>
      <c r="D164"/>
      <c r="E164" s="7"/>
      <c r="F164"/>
      <c r="G164"/>
      <c r="H164" s="10"/>
      <c r="I164" s="10"/>
      <c r="J164" s="10"/>
      <c r="K164" s="10"/>
      <c r="L164" s="10"/>
      <c r="M164" s="51"/>
    </row>
    <row r="165" spans="1:13" x14ac:dyDescent="0.2">
      <c r="A165"/>
      <c r="B165"/>
      <c r="C165"/>
      <c r="D165"/>
      <c r="E165" s="7"/>
      <c r="F165"/>
      <c r="G165"/>
      <c r="H165" s="10"/>
      <c r="I165" s="10"/>
      <c r="J165" s="10"/>
      <c r="K165" s="10"/>
      <c r="L165" s="10"/>
      <c r="M165" s="51"/>
    </row>
    <row r="166" spans="1:13" x14ac:dyDescent="0.2">
      <c r="A166"/>
      <c r="B166"/>
      <c r="C166"/>
      <c r="D166"/>
      <c r="E166" s="7"/>
      <c r="F166"/>
      <c r="G166"/>
      <c r="H166" s="10"/>
      <c r="I166" s="10"/>
      <c r="J166" s="10"/>
      <c r="K166" s="10"/>
      <c r="L166" s="10"/>
      <c r="M166" s="51"/>
    </row>
    <row r="167" spans="1:13" x14ac:dyDescent="0.2">
      <c r="A167"/>
      <c r="B167"/>
      <c r="C167"/>
      <c r="D167"/>
      <c r="E167" s="7"/>
      <c r="F167"/>
      <c r="G167"/>
      <c r="H167" s="10"/>
      <c r="I167" s="10"/>
      <c r="J167" s="10"/>
      <c r="K167" s="10"/>
      <c r="L167" s="10"/>
      <c r="M167" s="51"/>
    </row>
    <row r="168" spans="1:13" x14ac:dyDescent="0.2">
      <c r="A168"/>
      <c r="B168"/>
      <c r="C168"/>
      <c r="D168"/>
      <c r="E168" s="7"/>
      <c r="F168"/>
      <c r="G168"/>
      <c r="H168" s="10"/>
      <c r="I168" s="10"/>
      <c r="J168" s="10"/>
      <c r="K168" s="10"/>
      <c r="L168" s="10"/>
      <c r="M168" s="51"/>
    </row>
    <row r="169" spans="1:13" x14ac:dyDescent="0.2">
      <c r="A169"/>
      <c r="B169"/>
      <c r="C169"/>
      <c r="D169"/>
      <c r="E169" s="7"/>
      <c r="F169"/>
      <c r="G169"/>
      <c r="H169" s="10"/>
      <c r="I169" s="10"/>
      <c r="J169" s="10"/>
      <c r="K169" s="10"/>
      <c r="L169" s="10"/>
      <c r="M169" s="51"/>
    </row>
    <row r="170" spans="1:13" x14ac:dyDescent="0.2">
      <c r="A170"/>
      <c r="B170"/>
      <c r="C170"/>
      <c r="D170"/>
      <c r="E170" s="7"/>
      <c r="F170"/>
      <c r="G170"/>
      <c r="H170" s="10"/>
      <c r="I170" s="10"/>
      <c r="J170" s="10"/>
      <c r="K170" s="10"/>
      <c r="L170" s="10"/>
      <c r="M170" s="51"/>
    </row>
    <row r="171" spans="1:13" x14ac:dyDescent="0.2">
      <c r="A171"/>
      <c r="B171"/>
      <c r="C171"/>
      <c r="D171"/>
      <c r="E171" s="7"/>
      <c r="F171"/>
      <c r="G171"/>
      <c r="H171" s="10"/>
      <c r="I171" s="10"/>
      <c r="J171" s="10"/>
      <c r="K171" s="10"/>
      <c r="L171" s="10"/>
      <c r="M171" s="51"/>
    </row>
    <row r="172" spans="1:13" x14ac:dyDescent="0.2">
      <c r="A172"/>
      <c r="B172"/>
      <c r="C172"/>
      <c r="D172"/>
      <c r="E172" s="7"/>
      <c r="F172"/>
      <c r="G172"/>
      <c r="H172" s="10"/>
      <c r="I172" s="10"/>
      <c r="J172" s="10"/>
      <c r="K172" s="10"/>
      <c r="L172" s="10"/>
      <c r="M172" s="51"/>
    </row>
    <row r="173" spans="1:13" x14ac:dyDescent="0.2">
      <c r="A173"/>
      <c r="B173"/>
      <c r="C173"/>
      <c r="D173"/>
      <c r="E173" s="7"/>
      <c r="F173"/>
      <c r="G173"/>
      <c r="H173" s="10"/>
      <c r="I173" s="10"/>
      <c r="J173" s="10"/>
      <c r="K173" s="10"/>
      <c r="L173" s="10"/>
      <c r="M173" s="51"/>
    </row>
    <row r="174" spans="1:13" x14ac:dyDescent="0.2">
      <c r="A174"/>
      <c r="B174"/>
      <c r="C174"/>
      <c r="D174"/>
      <c r="E174" s="7"/>
      <c r="F174"/>
      <c r="G174"/>
      <c r="H174" s="10"/>
      <c r="I174" s="10"/>
      <c r="J174" s="10"/>
      <c r="K174" s="10"/>
      <c r="L174" s="10"/>
      <c r="M174" s="51"/>
    </row>
    <row r="175" spans="1:13" x14ac:dyDescent="0.2">
      <c r="A175"/>
      <c r="B175"/>
      <c r="C175"/>
      <c r="D175"/>
      <c r="E175" s="7"/>
      <c r="F175"/>
      <c r="G175"/>
      <c r="H175" s="10"/>
      <c r="I175" s="10"/>
      <c r="J175" s="10"/>
      <c r="K175" s="10"/>
      <c r="L175" s="10"/>
      <c r="M175" s="51"/>
    </row>
    <row r="176" spans="1:13" x14ac:dyDescent="0.2">
      <c r="A176"/>
      <c r="B176"/>
      <c r="C176"/>
      <c r="D176"/>
      <c r="E176" s="7"/>
      <c r="F176"/>
      <c r="G176"/>
      <c r="H176" s="10"/>
      <c r="I176" s="10"/>
      <c r="J176" s="10"/>
      <c r="K176" s="10"/>
      <c r="L176" s="10"/>
      <c r="M176" s="51"/>
    </row>
    <row r="177" spans="1:13" x14ac:dyDescent="0.2">
      <c r="A177"/>
      <c r="B177"/>
      <c r="C177"/>
      <c r="D177"/>
      <c r="E177" s="7"/>
      <c r="F177"/>
      <c r="G177"/>
      <c r="H177" s="10"/>
      <c r="I177" s="10"/>
      <c r="J177" s="10"/>
      <c r="K177" s="10"/>
      <c r="L177" s="10"/>
      <c r="M177" s="51"/>
    </row>
    <row r="178" spans="1:13" x14ac:dyDescent="0.2">
      <c r="A178"/>
      <c r="B178"/>
      <c r="C178"/>
      <c r="D178"/>
      <c r="E178" s="7"/>
      <c r="F178"/>
      <c r="G178"/>
      <c r="H178" s="10"/>
      <c r="I178" s="10"/>
      <c r="J178" s="10"/>
      <c r="K178" s="10"/>
      <c r="L178" s="10"/>
      <c r="M178" s="51"/>
    </row>
    <row r="179" spans="1:13" x14ac:dyDescent="0.2">
      <c r="A179"/>
      <c r="B179"/>
      <c r="C179"/>
      <c r="D179"/>
      <c r="E179" s="7"/>
      <c r="F179"/>
      <c r="G179"/>
      <c r="H179" s="10"/>
      <c r="I179" s="10"/>
      <c r="J179" s="10"/>
      <c r="K179" s="10"/>
      <c r="L179" s="10"/>
      <c r="M179" s="51"/>
    </row>
    <row r="180" spans="1:13" x14ac:dyDescent="0.2">
      <c r="A180"/>
      <c r="B180"/>
      <c r="C180"/>
      <c r="D180"/>
      <c r="E180" s="7"/>
      <c r="F180"/>
      <c r="G180"/>
      <c r="H180" s="10"/>
      <c r="I180" s="10"/>
      <c r="J180" s="10"/>
      <c r="K180" s="10"/>
      <c r="L180" s="10"/>
      <c r="M180" s="51"/>
    </row>
    <row r="181" spans="1:13" x14ac:dyDescent="0.2">
      <c r="A181"/>
      <c r="B181"/>
      <c r="C181"/>
      <c r="D181"/>
      <c r="E181" s="7"/>
      <c r="F181"/>
      <c r="G181"/>
      <c r="H181" s="10"/>
      <c r="I181" s="10"/>
      <c r="J181" s="10"/>
      <c r="K181" s="10"/>
      <c r="L181" s="10"/>
      <c r="M181" s="51"/>
    </row>
    <row r="182" spans="1:13" x14ac:dyDescent="0.2">
      <c r="A182"/>
      <c r="B182"/>
      <c r="C182"/>
      <c r="D182"/>
      <c r="E182" s="7"/>
      <c r="F182"/>
      <c r="G182"/>
      <c r="H182" s="10"/>
      <c r="I182" s="10"/>
      <c r="J182" s="10"/>
      <c r="K182" s="10"/>
      <c r="L182" s="10"/>
      <c r="M182" s="51"/>
    </row>
    <row r="183" spans="1:13" x14ac:dyDescent="0.2">
      <c r="A183"/>
      <c r="B183"/>
      <c r="C183"/>
      <c r="D183"/>
      <c r="E183" s="7"/>
      <c r="F183"/>
      <c r="G183"/>
      <c r="H183" s="10"/>
      <c r="I183" s="10"/>
      <c r="J183" s="10"/>
      <c r="K183" s="10"/>
      <c r="L183" s="10"/>
      <c r="M183" s="51"/>
    </row>
    <row r="184" spans="1:13" x14ac:dyDescent="0.2">
      <c r="A184"/>
      <c r="B184"/>
      <c r="C184"/>
      <c r="D184"/>
      <c r="E184" s="7"/>
      <c r="F184"/>
      <c r="G184"/>
      <c r="H184" s="10"/>
      <c r="I184" s="10"/>
      <c r="J184" s="10"/>
      <c r="K184" s="10"/>
      <c r="L184" s="10"/>
      <c r="M184" s="51"/>
    </row>
    <row r="185" spans="1:13" x14ac:dyDescent="0.2">
      <c r="A185"/>
      <c r="B185"/>
      <c r="C185"/>
      <c r="D185"/>
      <c r="E185" s="7"/>
      <c r="F185"/>
      <c r="G185"/>
      <c r="H185" s="10"/>
      <c r="I185" s="10"/>
      <c r="J185" s="10"/>
      <c r="K185" s="10"/>
      <c r="L185" s="10"/>
      <c r="M185" s="51"/>
    </row>
    <row r="186" spans="1:13" x14ac:dyDescent="0.2">
      <c r="A186"/>
      <c r="B186"/>
      <c r="C186"/>
      <c r="D186"/>
      <c r="E186" s="7"/>
      <c r="F186"/>
      <c r="G186"/>
      <c r="H186" s="10"/>
      <c r="I186" s="10"/>
      <c r="J186" s="10"/>
      <c r="K186" s="10"/>
      <c r="L186" s="10"/>
      <c r="M186" s="51"/>
    </row>
    <row r="187" spans="1:13" x14ac:dyDescent="0.2">
      <c r="A187"/>
      <c r="B187"/>
      <c r="C187"/>
      <c r="D187"/>
      <c r="E187" s="7"/>
      <c r="F187"/>
      <c r="G187"/>
      <c r="H187" s="10"/>
      <c r="I187" s="10"/>
      <c r="J187" s="10"/>
      <c r="K187" s="10"/>
      <c r="L187" s="10"/>
      <c r="M187" s="51"/>
    </row>
    <row r="188" spans="1:13" x14ac:dyDescent="0.2">
      <c r="A188"/>
      <c r="B188"/>
      <c r="C188"/>
      <c r="D188"/>
      <c r="E188" s="7"/>
      <c r="F188"/>
      <c r="G188"/>
      <c r="H188" s="10"/>
      <c r="I188" s="10"/>
      <c r="J188" s="10"/>
      <c r="K188" s="10"/>
      <c r="L188" s="10"/>
      <c r="M188" s="51"/>
    </row>
    <row r="189" spans="1:13" x14ac:dyDescent="0.2">
      <c r="A189"/>
      <c r="B189"/>
      <c r="C189"/>
      <c r="D189"/>
      <c r="E189" s="7"/>
      <c r="F189"/>
      <c r="G189"/>
      <c r="H189" s="10"/>
      <c r="I189" s="10"/>
      <c r="J189" s="10"/>
      <c r="K189" s="10"/>
      <c r="L189" s="10"/>
      <c r="M189" s="51"/>
    </row>
    <row r="190" spans="1:13" x14ac:dyDescent="0.2">
      <c r="A190"/>
      <c r="B190"/>
      <c r="C190"/>
      <c r="D190"/>
      <c r="E190" s="7"/>
      <c r="F190"/>
      <c r="G190"/>
      <c r="H190" s="10"/>
      <c r="I190" s="10"/>
      <c r="J190" s="10"/>
      <c r="K190" s="10"/>
      <c r="L190" s="10"/>
      <c r="M190" s="51"/>
    </row>
    <row r="191" spans="1:13" x14ac:dyDescent="0.2">
      <c r="A191"/>
      <c r="B191"/>
      <c r="C191"/>
      <c r="D191"/>
      <c r="E191" s="7"/>
      <c r="F191"/>
      <c r="G191"/>
      <c r="H191" s="10"/>
      <c r="I191" s="10"/>
      <c r="J191" s="10"/>
      <c r="K191" s="10"/>
      <c r="L191" s="10"/>
      <c r="M191" s="51"/>
    </row>
    <row r="192" spans="1:13" x14ac:dyDescent="0.2">
      <c r="A192"/>
      <c r="B192"/>
      <c r="C192"/>
      <c r="D192"/>
      <c r="E192" s="7"/>
      <c r="F192"/>
      <c r="G192"/>
      <c r="H192" s="10"/>
      <c r="I192" s="10"/>
      <c r="J192" s="10"/>
      <c r="K192" s="10"/>
      <c r="L192" s="10"/>
      <c r="M192" s="51"/>
    </row>
    <row r="193" spans="1:13" x14ac:dyDescent="0.2">
      <c r="A193"/>
      <c r="B193"/>
      <c r="C193"/>
      <c r="D193"/>
      <c r="E193" s="7"/>
      <c r="F193"/>
      <c r="G193"/>
      <c r="H193" s="10"/>
      <c r="I193" s="10"/>
      <c r="J193" s="10"/>
      <c r="K193" s="10"/>
      <c r="L193" s="10"/>
      <c r="M193" s="51"/>
    </row>
    <row r="194" spans="1:13" x14ac:dyDescent="0.2">
      <c r="A194"/>
      <c r="B194"/>
      <c r="C194"/>
      <c r="D194"/>
      <c r="E194" s="7"/>
      <c r="F194"/>
      <c r="G194"/>
      <c r="H194" s="10"/>
      <c r="I194" s="10"/>
      <c r="J194" s="10"/>
      <c r="K194" s="10"/>
      <c r="L194" s="10"/>
      <c r="M194" s="51"/>
    </row>
    <row r="195" spans="1:13" x14ac:dyDescent="0.2">
      <c r="A195"/>
      <c r="B195"/>
      <c r="C195"/>
      <c r="D195"/>
      <c r="E195" s="7"/>
      <c r="F195"/>
      <c r="G195"/>
      <c r="H195" s="10"/>
      <c r="I195" s="10"/>
      <c r="J195" s="10"/>
      <c r="K195" s="10"/>
      <c r="L195" s="10"/>
      <c r="M195" s="51"/>
    </row>
    <row r="196" spans="1:13" x14ac:dyDescent="0.2">
      <c r="A196"/>
      <c r="B196"/>
      <c r="C196"/>
      <c r="D196"/>
      <c r="E196" s="7"/>
      <c r="F196"/>
      <c r="G196"/>
      <c r="H196" s="10"/>
      <c r="I196" s="10"/>
      <c r="J196" s="10"/>
      <c r="K196" s="10"/>
      <c r="L196" s="10"/>
      <c r="M196" s="51"/>
    </row>
    <row r="197" spans="1:13" x14ac:dyDescent="0.2">
      <c r="A197"/>
      <c r="B197"/>
      <c r="C197"/>
      <c r="D197"/>
      <c r="E197" s="7"/>
      <c r="F197"/>
      <c r="G197"/>
      <c r="H197" s="10"/>
      <c r="I197" s="10"/>
      <c r="J197" s="10"/>
      <c r="K197" s="10"/>
      <c r="L197" s="10"/>
      <c r="M197" s="51"/>
    </row>
    <row r="198" spans="1:13" x14ac:dyDescent="0.2">
      <c r="A198"/>
      <c r="B198"/>
      <c r="C198"/>
      <c r="D198"/>
      <c r="E198" s="7"/>
      <c r="F198"/>
      <c r="G198"/>
      <c r="H198" s="10"/>
      <c r="I198" s="10"/>
      <c r="J198" s="10"/>
      <c r="K198" s="10"/>
      <c r="L198" s="10"/>
      <c r="M198" s="51"/>
    </row>
    <row r="199" spans="1:13" x14ac:dyDescent="0.2">
      <c r="A199"/>
      <c r="B199"/>
      <c r="C199"/>
      <c r="D199"/>
      <c r="E199" s="7"/>
      <c r="F199"/>
      <c r="G199"/>
      <c r="H199" s="10"/>
      <c r="I199" s="10"/>
      <c r="J199" s="10"/>
      <c r="K199" s="10"/>
      <c r="L199" s="10"/>
      <c r="M199" s="51"/>
    </row>
    <row r="200" spans="1:13" x14ac:dyDescent="0.2">
      <c r="A200"/>
      <c r="B200"/>
      <c r="C200"/>
      <c r="D200"/>
      <c r="E200" s="7"/>
      <c r="F200"/>
      <c r="G200"/>
      <c r="H200" s="10"/>
      <c r="I200" s="10"/>
      <c r="J200" s="10"/>
      <c r="K200" s="10"/>
      <c r="L200" s="10"/>
      <c r="M200" s="51"/>
    </row>
    <row r="201" spans="1:13" x14ac:dyDescent="0.2">
      <c r="A201"/>
      <c r="B201"/>
      <c r="C201"/>
      <c r="D201"/>
      <c r="E201" s="7"/>
      <c r="F201"/>
      <c r="G201"/>
      <c r="H201" s="10"/>
      <c r="I201" s="10"/>
      <c r="J201" s="10"/>
      <c r="K201" s="10"/>
      <c r="L201" s="10"/>
      <c r="M201" s="51"/>
    </row>
    <row r="202" spans="1:13" x14ac:dyDescent="0.2">
      <c r="A202"/>
      <c r="B202"/>
      <c r="C202"/>
      <c r="D202"/>
      <c r="E202" s="7"/>
      <c r="F202"/>
      <c r="G202"/>
      <c r="H202" s="10"/>
      <c r="I202" s="10"/>
      <c r="J202" s="10"/>
      <c r="K202" s="10"/>
      <c r="L202" s="10"/>
      <c r="M202" s="51"/>
    </row>
    <row r="203" spans="1:13" x14ac:dyDescent="0.2">
      <c r="A203"/>
      <c r="B203"/>
      <c r="C203"/>
      <c r="D203"/>
      <c r="E203" s="7"/>
      <c r="F203"/>
      <c r="G203"/>
      <c r="H203" s="10"/>
      <c r="I203" s="10"/>
      <c r="J203" s="10"/>
      <c r="K203" s="10"/>
      <c r="L203" s="10"/>
      <c r="M203" s="51"/>
    </row>
    <row r="204" spans="1:13" x14ac:dyDescent="0.2">
      <c r="A204"/>
      <c r="B204"/>
      <c r="C204"/>
      <c r="D204"/>
      <c r="E204" s="7"/>
      <c r="F204"/>
      <c r="G204"/>
      <c r="H204" s="10"/>
      <c r="I204" s="10"/>
      <c r="J204" s="10"/>
      <c r="K204" s="10"/>
      <c r="L204" s="10"/>
      <c r="M204" s="51"/>
    </row>
    <row r="205" spans="1:13" x14ac:dyDescent="0.2">
      <c r="A205"/>
      <c r="B205"/>
      <c r="C205"/>
      <c r="D205"/>
      <c r="E205" s="7"/>
      <c r="F205"/>
      <c r="G205"/>
      <c r="H205" s="10"/>
      <c r="I205" s="10"/>
      <c r="J205" s="10"/>
      <c r="K205" s="10"/>
      <c r="L205" s="10"/>
      <c r="M205" s="51"/>
    </row>
    <row r="206" spans="1:13" x14ac:dyDescent="0.2">
      <c r="A206"/>
      <c r="B206"/>
      <c r="C206"/>
      <c r="D206"/>
      <c r="E206" s="7"/>
      <c r="F206"/>
      <c r="G206"/>
      <c r="H206" s="10"/>
      <c r="I206" s="10"/>
      <c r="J206" s="10"/>
      <c r="K206" s="10"/>
      <c r="L206" s="10"/>
      <c r="M206" s="51"/>
    </row>
    <row r="207" spans="1:13" x14ac:dyDescent="0.2">
      <c r="A207"/>
      <c r="B207"/>
      <c r="C207"/>
      <c r="D207"/>
      <c r="E207" s="7"/>
      <c r="F207"/>
      <c r="G207"/>
      <c r="H207" s="10"/>
      <c r="I207" s="10"/>
      <c r="J207" s="10"/>
      <c r="K207" s="10"/>
      <c r="L207" s="10"/>
      <c r="M207" s="51"/>
    </row>
    <row r="208" spans="1:13" x14ac:dyDescent="0.2">
      <c r="A208"/>
      <c r="B208"/>
      <c r="C208"/>
      <c r="D208"/>
      <c r="E208" s="7"/>
      <c r="F208"/>
      <c r="G208"/>
      <c r="H208" s="10"/>
      <c r="I208" s="10"/>
      <c r="J208" s="10"/>
      <c r="K208" s="10"/>
      <c r="L208" s="10"/>
      <c r="M208" s="51"/>
    </row>
    <row r="209" spans="1:13" x14ac:dyDescent="0.2">
      <c r="A209"/>
      <c r="B209"/>
      <c r="C209"/>
      <c r="D209"/>
      <c r="E209" s="7"/>
      <c r="F209"/>
      <c r="G209"/>
      <c r="H209" s="10"/>
      <c r="I209" s="10"/>
      <c r="J209" s="10"/>
      <c r="K209" s="10"/>
      <c r="L209" s="10"/>
      <c r="M209" s="51"/>
    </row>
    <row r="210" spans="1:13" x14ac:dyDescent="0.2">
      <c r="A210"/>
      <c r="B210"/>
      <c r="C210"/>
      <c r="D210"/>
      <c r="E210" s="7"/>
      <c r="F210"/>
      <c r="G210"/>
      <c r="H210" s="10"/>
      <c r="I210" s="10"/>
      <c r="J210" s="10"/>
      <c r="K210" s="10"/>
      <c r="L210" s="10"/>
      <c r="M210" s="51"/>
    </row>
    <row r="211" spans="1:13" x14ac:dyDescent="0.2">
      <c r="A211"/>
      <c r="B211"/>
      <c r="C211"/>
      <c r="D211"/>
      <c r="E211" s="7"/>
      <c r="F211"/>
      <c r="G211"/>
      <c r="H211" s="10"/>
      <c r="I211" s="10"/>
      <c r="J211" s="10"/>
      <c r="K211" s="10"/>
      <c r="L211" s="10"/>
      <c r="M211" s="51"/>
    </row>
    <row r="212" spans="1:13" x14ac:dyDescent="0.2">
      <c r="A212"/>
      <c r="B212"/>
      <c r="C212"/>
      <c r="D212"/>
      <c r="E212" s="7"/>
      <c r="F212"/>
      <c r="G212"/>
      <c r="H212" s="10"/>
      <c r="I212" s="10"/>
      <c r="J212" s="10"/>
      <c r="K212" s="10"/>
      <c r="L212" s="10"/>
      <c r="M212" s="51"/>
    </row>
    <row r="213" spans="1:13" x14ac:dyDescent="0.2">
      <c r="A213"/>
      <c r="B213"/>
      <c r="C213"/>
      <c r="D213"/>
      <c r="E213" s="7"/>
      <c r="F213"/>
      <c r="G213"/>
      <c r="H213" s="10"/>
      <c r="I213" s="10"/>
      <c r="J213" s="10"/>
      <c r="K213" s="10"/>
      <c r="L213" s="10"/>
      <c r="M213" s="51"/>
    </row>
    <row r="214" spans="1:13" x14ac:dyDescent="0.2">
      <c r="A214"/>
      <c r="B214"/>
      <c r="C214"/>
      <c r="D214"/>
      <c r="E214" s="7"/>
      <c r="F214"/>
      <c r="G214"/>
      <c r="H214" s="10"/>
      <c r="I214" s="10"/>
      <c r="J214" s="10"/>
      <c r="K214" s="10"/>
      <c r="L214" s="10"/>
      <c r="M214" s="51"/>
    </row>
    <row r="215" spans="1:13" x14ac:dyDescent="0.2">
      <c r="A215"/>
      <c r="B215"/>
      <c r="C215"/>
      <c r="D215"/>
      <c r="E215" s="7"/>
      <c r="F215"/>
      <c r="G215"/>
      <c r="H215" s="10"/>
      <c r="I215" s="10"/>
      <c r="J215" s="10"/>
      <c r="K215" s="10"/>
      <c r="L215" s="10"/>
      <c r="M215" s="51"/>
    </row>
    <row r="216" spans="1:13" x14ac:dyDescent="0.2">
      <c r="A216"/>
      <c r="B216"/>
      <c r="C216"/>
      <c r="D216"/>
      <c r="E216" s="7"/>
      <c r="F216"/>
      <c r="G216"/>
      <c r="H216" s="10"/>
      <c r="I216" s="10"/>
      <c r="J216" s="10"/>
      <c r="K216" s="10"/>
      <c r="L216" s="10"/>
      <c r="M216" s="51"/>
    </row>
    <row r="217" spans="1:13" x14ac:dyDescent="0.2">
      <c r="A217"/>
      <c r="B217"/>
      <c r="C217"/>
      <c r="D217"/>
      <c r="E217" s="7"/>
      <c r="F217"/>
      <c r="G217"/>
      <c r="H217" s="10"/>
      <c r="I217" s="10"/>
      <c r="J217" s="10"/>
      <c r="K217" s="10"/>
      <c r="L217" s="10"/>
      <c r="M217" s="51"/>
    </row>
    <row r="218" spans="1:13" x14ac:dyDescent="0.2">
      <c r="A218"/>
      <c r="B218"/>
      <c r="C218"/>
      <c r="D218"/>
      <c r="E218" s="7"/>
      <c r="F218"/>
      <c r="G218"/>
      <c r="H218" s="10"/>
      <c r="I218" s="10"/>
      <c r="J218" s="10"/>
      <c r="K218" s="10"/>
      <c r="L218" s="10"/>
      <c r="M218" s="51"/>
    </row>
    <row r="219" spans="1:13" x14ac:dyDescent="0.2">
      <c r="A219"/>
      <c r="B219"/>
      <c r="C219"/>
      <c r="D219"/>
      <c r="E219" s="7"/>
      <c r="F219"/>
      <c r="G219"/>
      <c r="H219" s="10"/>
      <c r="I219" s="10"/>
      <c r="J219" s="10"/>
      <c r="K219" s="10"/>
      <c r="L219" s="10"/>
      <c r="M219" s="51"/>
    </row>
    <row r="220" spans="1:13" x14ac:dyDescent="0.2">
      <c r="A220"/>
      <c r="B220"/>
      <c r="C220"/>
      <c r="D220"/>
      <c r="E220" s="7"/>
      <c r="F220"/>
      <c r="G220"/>
      <c r="H220" s="10"/>
      <c r="I220" s="10"/>
      <c r="J220" s="10"/>
      <c r="K220" s="10"/>
      <c r="L220" s="10"/>
      <c r="M220" s="51"/>
    </row>
    <row r="221" spans="1:13" x14ac:dyDescent="0.2">
      <c r="A221"/>
      <c r="B221"/>
      <c r="C221"/>
      <c r="D221"/>
      <c r="E221" s="7"/>
      <c r="F221"/>
      <c r="G221"/>
      <c r="H221" s="10"/>
      <c r="I221" s="10"/>
      <c r="J221" s="10"/>
      <c r="K221" s="10"/>
      <c r="L221" s="10"/>
      <c r="M221" s="51"/>
    </row>
    <row r="222" spans="1:13" x14ac:dyDescent="0.2">
      <c r="A222"/>
      <c r="B222"/>
      <c r="C222"/>
      <c r="D222"/>
      <c r="E222" s="7"/>
      <c r="F222"/>
      <c r="G222"/>
      <c r="H222" s="10"/>
      <c r="I222" s="10"/>
      <c r="J222" s="10"/>
      <c r="K222" s="10"/>
      <c r="L222" s="10"/>
      <c r="M222" s="51"/>
    </row>
    <row r="223" spans="1:13" x14ac:dyDescent="0.2">
      <c r="A223"/>
      <c r="B223"/>
      <c r="C223"/>
      <c r="D223"/>
      <c r="E223" s="7"/>
      <c r="F223"/>
      <c r="G223"/>
      <c r="H223" s="10"/>
      <c r="I223" s="10"/>
      <c r="J223" s="10"/>
      <c r="K223" s="10"/>
      <c r="L223" s="10"/>
      <c r="M223" s="51"/>
    </row>
    <row r="224" spans="1:13" x14ac:dyDescent="0.2">
      <c r="A224"/>
      <c r="B224"/>
      <c r="C224"/>
      <c r="D224"/>
      <c r="E224" s="7"/>
      <c r="F224"/>
      <c r="G224"/>
      <c r="H224" s="10"/>
      <c r="I224" s="10"/>
      <c r="J224" s="10"/>
      <c r="K224" s="10"/>
      <c r="L224" s="10"/>
      <c r="M224" s="51"/>
    </row>
    <row r="225" spans="1:13" x14ac:dyDescent="0.2">
      <c r="A225"/>
      <c r="B225"/>
      <c r="C225"/>
      <c r="D225"/>
      <c r="E225" s="7"/>
      <c r="F225"/>
      <c r="G225"/>
      <c r="H225" s="10"/>
      <c r="I225" s="10"/>
      <c r="J225" s="10"/>
      <c r="K225" s="10"/>
      <c r="L225" s="10"/>
      <c r="M225" s="51"/>
    </row>
    <row r="226" spans="1:13" x14ac:dyDescent="0.2">
      <c r="A226"/>
      <c r="B226"/>
      <c r="C226"/>
      <c r="D226"/>
      <c r="E226" s="7"/>
      <c r="F226"/>
      <c r="G226"/>
      <c r="H226" s="10"/>
      <c r="I226" s="10"/>
      <c r="J226" s="10"/>
      <c r="K226" s="10"/>
      <c r="L226" s="10"/>
      <c r="M226" s="51"/>
    </row>
    <row r="227" spans="1:13" x14ac:dyDescent="0.2">
      <c r="A227"/>
      <c r="B227"/>
      <c r="C227"/>
      <c r="D227"/>
      <c r="E227" s="7"/>
      <c r="F227"/>
      <c r="G227"/>
      <c r="H227" s="10"/>
      <c r="I227" s="10"/>
      <c r="J227" s="10"/>
      <c r="K227" s="10"/>
      <c r="L227" s="10"/>
      <c r="M227" s="51"/>
    </row>
    <row r="228" spans="1:13" x14ac:dyDescent="0.2">
      <c r="A228"/>
      <c r="B228"/>
      <c r="C228"/>
      <c r="D228"/>
      <c r="E228" s="7"/>
      <c r="F228"/>
      <c r="G228"/>
      <c r="H228" s="10"/>
      <c r="I228" s="10"/>
      <c r="J228" s="10"/>
      <c r="K228" s="10"/>
      <c r="L228" s="10"/>
      <c r="M228" s="51"/>
    </row>
    <row r="229" spans="1:13" x14ac:dyDescent="0.2">
      <c r="A229"/>
      <c r="B229"/>
      <c r="C229"/>
      <c r="D229"/>
      <c r="E229" s="7"/>
      <c r="F229"/>
      <c r="G229"/>
      <c r="H229" s="10"/>
      <c r="I229" s="10"/>
      <c r="J229" s="10"/>
      <c r="K229" s="10"/>
      <c r="L229" s="10"/>
      <c r="M229" s="51"/>
    </row>
    <row r="230" spans="1:13" x14ac:dyDescent="0.2">
      <c r="A230"/>
      <c r="B230"/>
      <c r="C230"/>
      <c r="D230"/>
      <c r="E230" s="7"/>
      <c r="F230"/>
      <c r="G230"/>
      <c r="H230" s="10"/>
      <c r="I230" s="10"/>
      <c r="J230" s="10"/>
      <c r="K230" s="10"/>
      <c r="L230" s="10"/>
      <c r="M230" s="51"/>
    </row>
    <row r="231" spans="1:13" x14ac:dyDescent="0.2">
      <c r="A231"/>
      <c r="B231"/>
      <c r="C231"/>
      <c r="D231"/>
      <c r="E231" s="7"/>
      <c r="F231"/>
      <c r="G231"/>
      <c r="H231" s="10"/>
      <c r="I231" s="10"/>
      <c r="J231" s="10"/>
      <c r="K231" s="10"/>
      <c r="L231" s="10"/>
      <c r="M231" s="51"/>
    </row>
    <row r="232" spans="1:13" x14ac:dyDescent="0.2">
      <c r="A232"/>
      <c r="B232"/>
      <c r="C232"/>
      <c r="D232"/>
      <c r="E232" s="7"/>
      <c r="F232"/>
      <c r="G232"/>
      <c r="H232" s="10"/>
      <c r="I232" s="10"/>
      <c r="J232" s="10"/>
      <c r="K232" s="10"/>
      <c r="L232" s="10"/>
      <c r="M232" s="51"/>
    </row>
    <row r="233" spans="1:13" x14ac:dyDescent="0.2">
      <c r="A233"/>
      <c r="B233"/>
      <c r="C233"/>
      <c r="D233"/>
      <c r="E233" s="7"/>
      <c r="F233"/>
      <c r="G233"/>
      <c r="H233" s="10"/>
      <c r="I233" s="10"/>
      <c r="J233" s="10"/>
      <c r="K233" s="10"/>
      <c r="L233" s="10"/>
      <c r="M233" s="51"/>
    </row>
    <row r="234" spans="1:13" x14ac:dyDescent="0.2">
      <c r="A234"/>
      <c r="B234"/>
      <c r="C234"/>
      <c r="D234"/>
      <c r="E234" s="7"/>
      <c r="F234"/>
      <c r="G234"/>
      <c r="H234" s="10"/>
      <c r="I234" s="10"/>
      <c r="J234" s="10"/>
      <c r="K234" s="10"/>
      <c r="L234" s="10"/>
      <c r="M234" s="51"/>
    </row>
    <row r="235" spans="1:13" x14ac:dyDescent="0.2">
      <c r="A235"/>
      <c r="B235"/>
      <c r="C235"/>
      <c r="D235"/>
      <c r="E235" s="7"/>
      <c r="F235"/>
      <c r="G235"/>
      <c r="H235" s="10"/>
      <c r="I235" s="10"/>
      <c r="J235" s="10"/>
      <c r="K235" s="10"/>
      <c r="L235" s="10"/>
      <c r="M235" s="51"/>
    </row>
    <row r="236" spans="1:13" x14ac:dyDescent="0.2">
      <c r="A236"/>
      <c r="B236"/>
      <c r="C236"/>
      <c r="D236"/>
      <c r="E236" s="7"/>
      <c r="F236"/>
      <c r="G236"/>
      <c r="H236" s="10"/>
      <c r="I236" s="10"/>
      <c r="J236" s="10"/>
      <c r="K236" s="10"/>
      <c r="L236" s="10"/>
      <c r="M236" s="51"/>
    </row>
    <row r="237" spans="1:13" x14ac:dyDescent="0.2">
      <c r="A237"/>
      <c r="B237"/>
      <c r="C237"/>
      <c r="D237"/>
      <c r="E237" s="7"/>
      <c r="F237"/>
      <c r="G237"/>
      <c r="H237" s="10"/>
      <c r="I237" s="10"/>
      <c r="J237" s="10"/>
      <c r="K237" s="10"/>
      <c r="L237" s="10"/>
      <c r="M237" s="51"/>
    </row>
    <row r="238" spans="1:13" x14ac:dyDescent="0.2">
      <c r="A238"/>
      <c r="B238"/>
      <c r="C238"/>
      <c r="D238"/>
      <c r="E238" s="7"/>
      <c r="F238"/>
      <c r="G238"/>
      <c r="H238" s="10"/>
      <c r="I238" s="10"/>
      <c r="J238" s="10"/>
      <c r="K238" s="10"/>
      <c r="L238" s="10"/>
      <c r="M238" s="51"/>
    </row>
    <row r="239" spans="1:13" x14ac:dyDescent="0.2">
      <c r="A239"/>
      <c r="B239"/>
      <c r="C239"/>
      <c r="D239"/>
      <c r="E239" s="7"/>
      <c r="F239"/>
      <c r="G239"/>
      <c r="H239" s="10"/>
      <c r="I239" s="10"/>
      <c r="J239" s="10"/>
      <c r="K239" s="10"/>
      <c r="L239" s="10"/>
      <c r="M239" s="51"/>
    </row>
    <row r="240" spans="1:13" x14ac:dyDescent="0.2">
      <c r="A240"/>
      <c r="B240"/>
      <c r="C240"/>
      <c r="D240"/>
      <c r="E240" s="7"/>
      <c r="F240"/>
      <c r="G240"/>
      <c r="H240" s="10"/>
      <c r="I240" s="10"/>
      <c r="J240" s="10"/>
      <c r="K240" s="10"/>
      <c r="L240" s="10"/>
      <c r="M240" s="51"/>
    </row>
  </sheetData>
  <autoFilter ref="A1:M240"/>
  <pageMargins left="0.75" right="0.75" top="1" bottom="1" header="0.5" footer="0.5"/>
  <pageSetup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241"/>
  <sheetViews>
    <sheetView zoomScale="120" zoomScaleNormal="120" workbookViewId="0">
      <pane ySplit="1" topLeftCell="A26" activePane="bottomLeft" state="frozen"/>
      <selection activeCell="L2" sqref="L2"/>
      <selection pane="bottomLeft" activeCell="A40" sqref="A40:XFD40"/>
    </sheetView>
  </sheetViews>
  <sheetFormatPr defaultColWidth="9.140625" defaultRowHeight="12.75" x14ac:dyDescent="0.2"/>
  <cols>
    <col min="1" max="1" width="10.140625" style="3" customWidth="1"/>
    <col min="2" max="2" width="25.7109375" style="3" customWidth="1"/>
    <col min="3" max="3" width="10.85546875" style="3" bestFit="1" customWidth="1"/>
    <col min="4" max="4" width="13.7109375" style="3" customWidth="1"/>
    <col min="5" max="5" width="11.42578125" style="8" customWidth="1"/>
    <col min="6" max="7" width="8" style="3" customWidth="1"/>
    <col min="8" max="8" width="8" style="11" customWidth="1"/>
    <col min="9" max="9" width="10.5703125" style="11" customWidth="1"/>
    <col min="10" max="10" width="15.28515625" style="11" customWidth="1"/>
    <col min="11" max="11" width="9.140625" style="11" customWidth="1"/>
    <col min="12" max="12" width="8" style="11" customWidth="1"/>
    <col min="13" max="13" width="116.28515625" style="82" customWidth="1"/>
    <col min="14" max="14" width="27.85546875" style="14" bestFit="1" customWidth="1"/>
    <col min="15" max="16384" width="9.140625" style="3"/>
  </cols>
  <sheetData>
    <row r="1" spans="1:14" s="1" customFormat="1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1" t="s">
        <v>5</v>
      </c>
      <c r="G1" s="1" t="s">
        <v>6</v>
      </c>
      <c r="H1" s="9" t="s">
        <v>7</v>
      </c>
      <c r="I1" s="30" t="s">
        <v>8</v>
      </c>
      <c r="J1" s="30" t="s">
        <v>9</v>
      </c>
      <c r="K1" s="16" t="s">
        <v>10</v>
      </c>
      <c r="L1" s="16" t="s">
        <v>11</v>
      </c>
      <c r="M1" s="77" t="s">
        <v>12</v>
      </c>
      <c r="N1" s="13"/>
    </row>
    <row r="2" spans="1:14" x14ac:dyDescent="0.2">
      <c r="A2" s="2" t="s">
        <v>57</v>
      </c>
      <c r="B2" t="s">
        <v>14</v>
      </c>
      <c r="C2" s="5">
        <v>43510</v>
      </c>
      <c r="D2" s="2" t="s">
        <v>58</v>
      </c>
      <c r="E2" s="7">
        <v>14772</v>
      </c>
      <c r="F2"/>
      <c r="G2"/>
      <c r="H2" s="19">
        <f>-0.122-0.565</f>
        <v>-0.68699999999999994</v>
      </c>
      <c r="I2" s="33">
        <v>137.19999999999999</v>
      </c>
      <c r="J2" s="14">
        <v>134.69999999999999</v>
      </c>
      <c r="K2" s="24">
        <f>J2-I2</f>
        <v>-2.5</v>
      </c>
      <c r="L2" s="47">
        <v>-890</v>
      </c>
      <c r="M2" s="2" t="s">
        <v>59</v>
      </c>
    </row>
    <row r="3" spans="1:14" x14ac:dyDescent="0.2">
      <c r="A3" s="2" t="s">
        <v>57</v>
      </c>
      <c r="B3" t="s">
        <v>14</v>
      </c>
      <c r="C3" s="5">
        <v>43510</v>
      </c>
      <c r="D3" s="2" t="s">
        <v>46</v>
      </c>
      <c r="E3" s="7">
        <v>13390037</v>
      </c>
      <c r="F3"/>
      <c r="G3"/>
      <c r="H3" s="10">
        <f>-0.728-0.105</f>
        <v>-0.83299999999999996</v>
      </c>
      <c r="I3" s="10"/>
      <c r="J3" s="10"/>
      <c r="K3" s="10"/>
      <c r="L3" s="10"/>
      <c r="M3" s="51" t="s">
        <v>47</v>
      </c>
    </row>
    <row r="4" spans="1:14" x14ac:dyDescent="0.2">
      <c r="A4" s="2" t="s">
        <v>57</v>
      </c>
      <c r="B4" t="s">
        <v>14</v>
      </c>
      <c r="C4" s="5">
        <v>43510</v>
      </c>
      <c r="D4" s="2" t="s">
        <v>19</v>
      </c>
      <c r="E4" s="12">
        <v>2109</v>
      </c>
      <c r="F4"/>
      <c r="G4"/>
      <c r="H4" s="10"/>
      <c r="I4" s="10"/>
      <c r="J4" s="10"/>
      <c r="K4" s="10"/>
      <c r="L4" s="10"/>
      <c r="M4" s="51"/>
      <c r="N4" s="17"/>
    </row>
    <row r="5" spans="1:14" x14ac:dyDescent="0.2">
      <c r="A5" s="2" t="s">
        <v>57</v>
      </c>
      <c r="B5" t="s">
        <v>14</v>
      </c>
      <c r="C5" s="5">
        <v>43510</v>
      </c>
      <c r="D5" s="2" t="s">
        <v>20</v>
      </c>
      <c r="E5" s="12"/>
      <c r="F5"/>
      <c r="G5"/>
      <c r="H5" s="10">
        <v>-0.33</v>
      </c>
      <c r="I5" s="10"/>
      <c r="J5" s="10"/>
      <c r="K5" s="10"/>
      <c r="L5" s="10"/>
      <c r="M5" s="51"/>
      <c r="N5" s="17"/>
    </row>
    <row r="6" spans="1:14" x14ac:dyDescent="0.2">
      <c r="A6" s="2" t="s">
        <v>57</v>
      </c>
      <c r="B6" t="s">
        <v>14</v>
      </c>
      <c r="C6" s="5">
        <v>43510</v>
      </c>
      <c r="D6" s="2" t="s">
        <v>21</v>
      </c>
      <c r="E6" s="12"/>
      <c r="F6" s="22">
        <v>154293</v>
      </c>
      <c r="G6" s="22">
        <v>509716</v>
      </c>
      <c r="H6" s="32">
        <f>H7</f>
        <v>2.21</v>
      </c>
      <c r="I6" s="10"/>
      <c r="J6" s="10"/>
      <c r="K6" s="10"/>
      <c r="L6" s="10"/>
      <c r="M6" s="81" t="s">
        <v>60</v>
      </c>
      <c r="N6" s="29"/>
    </row>
    <row r="7" spans="1:14" x14ac:dyDescent="0.2">
      <c r="A7" s="2" t="s">
        <v>57</v>
      </c>
      <c r="B7" t="s">
        <v>14</v>
      </c>
      <c r="C7" s="5">
        <v>43521</v>
      </c>
      <c r="D7" s="2" t="s">
        <v>21</v>
      </c>
      <c r="E7" s="7"/>
      <c r="F7">
        <v>154293</v>
      </c>
      <c r="G7">
        <v>509718</v>
      </c>
      <c r="H7" s="10">
        <v>2.21</v>
      </c>
      <c r="I7" s="10"/>
      <c r="J7" s="10"/>
      <c r="K7" s="10"/>
      <c r="L7" s="10"/>
      <c r="M7" s="81" t="s">
        <v>49</v>
      </c>
    </row>
    <row r="8" spans="1:14" x14ac:dyDescent="0.2">
      <c r="A8" s="2" t="s">
        <v>57</v>
      </c>
      <c r="B8" t="s">
        <v>14</v>
      </c>
      <c r="C8" s="5">
        <v>43521</v>
      </c>
      <c r="D8" s="2" t="s">
        <v>23</v>
      </c>
      <c r="E8" s="7"/>
      <c r="F8"/>
      <c r="G8"/>
      <c r="H8" s="10">
        <v>-1.3</v>
      </c>
      <c r="I8" s="10"/>
      <c r="J8" s="10"/>
      <c r="K8" s="10"/>
      <c r="L8" s="10"/>
      <c r="M8" s="51" t="s">
        <v>50</v>
      </c>
    </row>
    <row r="9" spans="1:14" x14ac:dyDescent="0.2">
      <c r="A9" s="2" t="s">
        <v>57</v>
      </c>
      <c r="B9" t="s">
        <v>14</v>
      </c>
      <c r="C9" s="43">
        <v>43550</v>
      </c>
      <c r="D9" s="2" t="s">
        <v>58</v>
      </c>
      <c r="E9" s="7">
        <v>14772</v>
      </c>
      <c r="F9"/>
      <c r="G9"/>
      <c r="H9" s="19">
        <f>-0.1785-0.565</f>
        <v>-0.74349999999999994</v>
      </c>
      <c r="I9" s="33">
        <v>137.19999999999999</v>
      </c>
      <c r="J9" s="14">
        <v>134.69999999999999</v>
      </c>
      <c r="K9" s="24">
        <f>J9-I9</f>
        <v>-2.5</v>
      </c>
      <c r="L9" s="47">
        <v>-890</v>
      </c>
      <c r="M9" s="51"/>
    </row>
    <row r="10" spans="1:14" x14ac:dyDescent="0.2">
      <c r="A10" s="2" t="s">
        <v>57</v>
      </c>
      <c r="B10" t="s">
        <v>14</v>
      </c>
      <c r="C10" s="43">
        <v>43550</v>
      </c>
      <c r="D10" s="2" t="s">
        <v>46</v>
      </c>
      <c r="E10" s="7">
        <v>13390037</v>
      </c>
      <c r="F10"/>
      <c r="G10"/>
      <c r="H10" s="10">
        <f>-0.7719-0.105</f>
        <v>-0.87690000000000001</v>
      </c>
      <c r="I10" s="10"/>
      <c r="J10" s="10"/>
      <c r="K10" s="10"/>
      <c r="L10" s="10"/>
      <c r="M10" s="51"/>
    </row>
    <row r="11" spans="1:14" x14ac:dyDescent="0.2">
      <c r="A11" s="2" t="s">
        <v>57</v>
      </c>
      <c r="B11" t="s">
        <v>14</v>
      </c>
      <c r="C11" s="43">
        <v>43550</v>
      </c>
      <c r="D11" s="2" t="s">
        <v>23</v>
      </c>
      <c r="E11" s="7"/>
      <c r="F11"/>
      <c r="G11"/>
      <c r="H11" s="10">
        <v>-1.2983</v>
      </c>
      <c r="I11" s="10"/>
      <c r="J11" s="10"/>
      <c r="K11" s="10"/>
      <c r="L11" s="10"/>
      <c r="M11" s="51" t="s">
        <v>61</v>
      </c>
    </row>
    <row r="12" spans="1:14" x14ac:dyDescent="0.2">
      <c r="A12" s="2" t="s">
        <v>57</v>
      </c>
      <c r="B12" t="s">
        <v>14</v>
      </c>
      <c r="C12" s="43">
        <v>43550</v>
      </c>
      <c r="D12" s="2" t="s">
        <v>21</v>
      </c>
      <c r="E12" s="7"/>
      <c r="F12">
        <v>154293</v>
      </c>
      <c r="G12">
        <v>509718</v>
      </c>
      <c r="H12" s="10">
        <v>2.1499000000000001</v>
      </c>
      <c r="I12" s="10"/>
      <c r="J12" s="10"/>
      <c r="K12" s="10"/>
      <c r="L12" s="10"/>
      <c r="M12" s="51"/>
    </row>
    <row r="13" spans="1:14" x14ac:dyDescent="0.2">
      <c r="A13" s="2" t="s">
        <v>57</v>
      </c>
      <c r="B13" t="s">
        <v>14</v>
      </c>
      <c r="C13" s="43">
        <v>43578</v>
      </c>
      <c r="D13" s="2" t="s">
        <v>58</v>
      </c>
      <c r="E13" s="7">
        <v>14772</v>
      </c>
      <c r="F13"/>
      <c r="G13"/>
      <c r="H13" s="19">
        <f>-0.1284-0.565</f>
        <v>-0.69339999999999991</v>
      </c>
      <c r="I13" s="33">
        <v>137.19999999999999</v>
      </c>
      <c r="J13" s="14">
        <v>134.69999999999999</v>
      </c>
      <c r="K13" s="24">
        <f>J13-I13</f>
        <v>-2.5</v>
      </c>
      <c r="L13" s="47">
        <v>-890</v>
      </c>
      <c r="M13" s="51"/>
    </row>
    <row r="14" spans="1:14" x14ac:dyDescent="0.2">
      <c r="A14" s="2" t="s">
        <v>57</v>
      </c>
      <c r="B14" t="s">
        <v>14</v>
      </c>
      <c r="C14" s="43">
        <v>43578</v>
      </c>
      <c r="D14" s="2" t="s">
        <v>46</v>
      </c>
      <c r="E14" s="7">
        <v>13390037</v>
      </c>
      <c r="F14"/>
      <c r="G14"/>
      <c r="H14" s="10">
        <f>-0.7549-0.105</f>
        <v>-0.8599</v>
      </c>
      <c r="I14" s="10"/>
      <c r="J14" s="10"/>
      <c r="K14" s="10"/>
      <c r="L14" s="10"/>
      <c r="M14" s="51"/>
    </row>
    <row r="15" spans="1:14" x14ac:dyDescent="0.2">
      <c r="A15" s="2" t="s">
        <v>57</v>
      </c>
      <c r="B15" t="s">
        <v>14</v>
      </c>
      <c r="C15" s="43">
        <v>43578</v>
      </c>
      <c r="D15" s="2" t="s">
        <v>23</v>
      </c>
      <c r="E15" s="7"/>
      <c r="F15"/>
      <c r="G15"/>
      <c r="H15" s="10">
        <v>-1.3109</v>
      </c>
      <c r="I15" s="10"/>
      <c r="J15" s="10"/>
      <c r="K15" s="10"/>
      <c r="L15" s="10"/>
      <c r="M15" s="51"/>
    </row>
    <row r="16" spans="1:14" x14ac:dyDescent="0.2">
      <c r="A16" s="2" t="s">
        <v>57</v>
      </c>
      <c r="B16" t="s">
        <v>14</v>
      </c>
      <c r="C16" s="43">
        <v>43578</v>
      </c>
      <c r="D16" s="2" t="s">
        <v>21</v>
      </c>
      <c r="E16" s="7"/>
      <c r="F16">
        <v>154293</v>
      </c>
      <c r="G16">
        <v>509718</v>
      </c>
      <c r="H16" s="10">
        <v>2.1564999999999999</v>
      </c>
      <c r="I16" s="10"/>
      <c r="J16" s="10"/>
      <c r="K16" s="10"/>
      <c r="L16" s="10"/>
      <c r="M16" s="51"/>
    </row>
    <row r="17" spans="1:14" x14ac:dyDescent="0.2">
      <c r="A17" s="2" t="s">
        <v>57</v>
      </c>
      <c r="B17" t="s">
        <v>14</v>
      </c>
      <c r="C17" s="43">
        <v>43605</v>
      </c>
      <c r="D17" s="2" t="s">
        <v>58</v>
      </c>
      <c r="E17" s="7">
        <v>14772</v>
      </c>
      <c r="F17"/>
      <c r="G17"/>
      <c r="H17" s="19">
        <f>-0.1925-0.565</f>
        <v>-0.75749999999999995</v>
      </c>
      <c r="I17" s="33">
        <v>137.19999999999999</v>
      </c>
      <c r="J17" s="14">
        <v>134.69999999999999</v>
      </c>
      <c r="K17" s="24">
        <f>J17-I17</f>
        <v>-2.5</v>
      </c>
      <c r="L17" s="47">
        <v>-890</v>
      </c>
      <c r="M17" s="51"/>
    </row>
    <row r="18" spans="1:14" x14ac:dyDescent="0.2">
      <c r="A18" s="2" t="s">
        <v>57</v>
      </c>
      <c r="B18" t="s">
        <v>14</v>
      </c>
      <c r="C18" s="43">
        <v>43605</v>
      </c>
      <c r="D18" s="2" t="s">
        <v>46</v>
      </c>
      <c r="E18" s="7">
        <v>13390037</v>
      </c>
      <c r="F18"/>
      <c r="G18"/>
      <c r="H18" s="10">
        <f>-0.773-0.105</f>
        <v>-0.878</v>
      </c>
      <c r="I18" s="10"/>
      <c r="J18" s="10"/>
      <c r="K18" s="10"/>
      <c r="L18" s="10"/>
      <c r="M18" s="51"/>
    </row>
    <row r="19" spans="1:14" x14ac:dyDescent="0.2">
      <c r="A19" s="2" t="s">
        <v>57</v>
      </c>
      <c r="B19" t="s">
        <v>14</v>
      </c>
      <c r="C19" s="43">
        <v>43605</v>
      </c>
      <c r="D19" s="2" t="s">
        <v>23</v>
      </c>
      <c r="E19" s="7"/>
      <c r="F19"/>
      <c r="G19"/>
      <c r="H19" s="10">
        <v>-1.2945</v>
      </c>
      <c r="I19" s="10"/>
      <c r="J19" s="10"/>
      <c r="K19" s="10"/>
      <c r="L19" s="10"/>
      <c r="M19" s="51"/>
    </row>
    <row r="20" spans="1:14" x14ac:dyDescent="0.2">
      <c r="A20" s="2" t="s">
        <v>57</v>
      </c>
      <c r="B20" t="s">
        <v>14</v>
      </c>
      <c r="C20" s="43">
        <v>43605</v>
      </c>
      <c r="D20" s="2" t="s">
        <v>21</v>
      </c>
      <c r="E20" s="7"/>
      <c r="F20">
        <v>154293</v>
      </c>
      <c r="G20">
        <v>509718</v>
      </c>
      <c r="H20" s="10">
        <v>2.1634000000000002</v>
      </c>
      <c r="I20" s="10"/>
      <c r="J20" s="10"/>
      <c r="K20" s="10"/>
      <c r="L20" s="10"/>
      <c r="M20" s="51" t="s">
        <v>29</v>
      </c>
    </row>
    <row r="21" spans="1:14" x14ac:dyDescent="0.2">
      <c r="A21" s="2" t="s">
        <v>57</v>
      </c>
      <c r="B21" t="s">
        <v>14</v>
      </c>
      <c r="C21" s="43">
        <v>43633</v>
      </c>
      <c r="D21" s="2" t="s">
        <v>58</v>
      </c>
      <c r="E21" s="7">
        <v>14772</v>
      </c>
      <c r="F21"/>
      <c r="G21"/>
      <c r="H21" s="19">
        <f>-0.1925-0.565</f>
        <v>-0.75749999999999995</v>
      </c>
      <c r="I21" s="33">
        <v>137.19999999999999</v>
      </c>
      <c r="J21" s="14">
        <v>134.69999999999999</v>
      </c>
      <c r="K21" s="24">
        <f>J21-I21</f>
        <v>-2.5</v>
      </c>
      <c r="L21" s="47">
        <v>-890</v>
      </c>
      <c r="M21" s="45">
        <f>-0.2055-0.565</f>
        <v>-0.77049999999999996</v>
      </c>
    </row>
    <row r="22" spans="1:14" x14ac:dyDescent="0.2">
      <c r="A22" s="2" t="s">
        <v>57</v>
      </c>
      <c r="B22" t="s">
        <v>14</v>
      </c>
      <c r="C22" s="43">
        <v>43633</v>
      </c>
      <c r="D22" s="2" t="s">
        <v>46</v>
      </c>
      <c r="E22" s="7">
        <v>13390037</v>
      </c>
      <c r="F22"/>
      <c r="G22"/>
      <c r="H22" s="10">
        <f>-0.773-0.105</f>
        <v>-0.878</v>
      </c>
      <c r="I22" s="10"/>
      <c r="J22" s="10"/>
      <c r="K22" s="10"/>
      <c r="L22" s="10"/>
      <c r="M22" s="46">
        <f>-0.7916-0.105</f>
        <v>-0.89659999999999995</v>
      </c>
    </row>
    <row r="23" spans="1:14" x14ac:dyDescent="0.2">
      <c r="A23" s="2" t="s">
        <v>57</v>
      </c>
      <c r="B23" t="s">
        <v>14</v>
      </c>
      <c r="C23" s="43">
        <v>43633</v>
      </c>
      <c r="D23" s="2" t="s">
        <v>23</v>
      </c>
      <c r="E23" s="7"/>
      <c r="F23"/>
      <c r="G23"/>
      <c r="H23" s="10">
        <v>-1.2609999999999999</v>
      </c>
      <c r="I23" s="10"/>
      <c r="J23" s="10"/>
      <c r="K23" s="10"/>
      <c r="L23" s="10"/>
      <c r="M23" s="46">
        <v>-1.2609999999999999</v>
      </c>
    </row>
    <row r="24" spans="1:14" x14ac:dyDescent="0.2">
      <c r="A24" s="2" t="s">
        <v>57</v>
      </c>
      <c r="B24" t="s">
        <v>14</v>
      </c>
      <c r="C24" s="43">
        <v>43633</v>
      </c>
      <c r="D24" s="2" t="s">
        <v>21</v>
      </c>
      <c r="E24" s="7"/>
      <c r="F24">
        <v>154293</v>
      </c>
      <c r="G24">
        <v>509718</v>
      </c>
      <c r="H24" s="10">
        <v>2.1634000000000002</v>
      </c>
      <c r="I24" s="10"/>
      <c r="J24" s="10"/>
      <c r="K24" s="10"/>
      <c r="L24" s="10"/>
      <c r="M24" s="46">
        <v>2.1690999999999998</v>
      </c>
    </row>
    <row r="25" spans="1:14" x14ac:dyDescent="0.2">
      <c r="A25" s="2" t="s">
        <v>57</v>
      </c>
      <c r="B25" t="s">
        <v>14</v>
      </c>
      <c r="C25" s="43">
        <v>43691</v>
      </c>
      <c r="D25" s="2" t="s">
        <v>58</v>
      </c>
      <c r="E25" s="7">
        <v>14772</v>
      </c>
      <c r="F25"/>
      <c r="G25"/>
      <c r="H25" s="19">
        <f>-0.21-0.565</f>
        <v>-0.77499999999999991</v>
      </c>
      <c r="I25" s="33">
        <v>137.19999999999999</v>
      </c>
      <c r="J25" s="14">
        <v>134.69999999999999</v>
      </c>
      <c r="K25" s="24">
        <f>J25-I25</f>
        <v>-2.5</v>
      </c>
      <c r="L25" s="47">
        <v>-890</v>
      </c>
      <c r="M25" s="45">
        <f>-0.2055-0.565</f>
        <v>-0.77049999999999996</v>
      </c>
    </row>
    <row r="26" spans="1:14" x14ac:dyDescent="0.2">
      <c r="A26" s="2" t="s">
        <v>57</v>
      </c>
      <c r="B26" t="s">
        <v>14</v>
      </c>
      <c r="C26" s="43">
        <v>43691</v>
      </c>
      <c r="D26" s="2" t="s">
        <v>46</v>
      </c>
      <c r="E26" s="7">
        <v>13390037</v>
      </c>
      <c r="F26"/>
      <c r="G26"/>
      <c r="H26" s="37">
        <f>-0.7724-0.09</f>
        <v>-0.86239999999999994</v>
      </c>
      <c r="I26" s="10"/>
      <c r="J26" s="10"/>
      <c r="K26" s="10"/>
      <c r="L26" s="10"/>
      <c r="M26" s="86" t="s">
        <v>62</v>
      </c>
    </row>
    <row r="27" spans="1:14" x14ac:dyDescent="0.2">
      <c r="A27" s="2" t="s">
        <v>57</v>
      </c>
      <c r="B27" t="s">
        <v>14</v>
      </c>
      <c r="C27" s="43">
        <v>43691</v>
      </c>
      <c r="D27" s="2" t="s">
        <v>23</v>
      </c>
      <c r="E27" s="7"/>
      <c r="F27"/>
      <c r="G27"/>
      <c r="H27" s="10">
        <v>-1.3</v>
      </c>
      <c r="I27" s="10"/>
      <c r="J27" s="10"/>
      <c r="K27" s="10"/>
      <c r="L27" s="10"/>
      <c r="M27" s="46">
        <v>-1.3</v>
      </c>
    </row>
    <row r="28" spans="1:14" x14ac:dyDescent="0.2">
      <c r="A28" s="2" t="s">
        <v>57</v>
      </c>
      <c r="B28" t="s">
        <v>14</v>
      </c>
      <c r="C28" s="43">
        <v>43691</v>
      </c>
      <c r="D28" s="2" t="s">
        <v>21</v>
      </c>
      <c r="E28" s="7"/>
      <c r="F28">
        <v>154293</v>
      </c>
      <c r="G28">
        <v>509718</v>
      </c>
      <c r="H28" s="10">
        <v>2.1070000000000002</v>
      </c>
      <c r="I28" s="10"/>
      <c r="J28" s="10"/>
      <c r="K28" s="10"/>
      <c r="L28" s="10"/>
      <c r="M28" s="49" t="s">
        <v>63</v>
      </c>
    </row>
    <row r="29" spans="1:14" x14ac:dyDescent="0.2">
      <c r="A29" s="2" t="s">
        <v>57</v>
      </c>
      <c r="B29" t="s">
        <v>14</v>
      </c>
      <c r="C29" s="43">
        <v>43717</v>
      </c>
      <c r="D29" s="2" t="s">
        <v>58</v>
      </c>
      <c r="E29" s="7">
        <v>14772</v>
      </c>
      <c r="F29"/>
      <c r="G29"/>
      <c r="H29" s="19">
        <f>-0.21-0.565</f>
        <v>-0.77499999999999991</v>
      </c>
      <c r="I29" s="33">
        <v>137.19999999999999</v>
      </c>
      <c r="J29" s="14">
        <v>134.69999999999999</v>
      </c>
      <c r="K29" s="24">
        <f>J29-I29</f>
        <v>-2.5</v>
      </c>
      <c r="L29" s="47">
        <v>-890</v>
      </c>
      <c r="M29" s="45">
        <f>-0.1915-0.565</f>
        <v>-0.75649999999999995</v>
      </c>
    </row>
    <row r="30" spans="1:14" x14ac:dyDescent="0.2">
      <c r="A30" s="2" t="s">
        <v>57</v>
      </c>
      <c r="B30" t="s">
        <v>14</v>
      </c>
      <c r="C30" s="43">
        <v>43717</v>
      </c>
      <c r="D30" s="2" t="s">
        <v>46</v>
      </c>
      <c r="E30" s="7">
        <v>13390037</v>
      </c>
      <c r="F30"/>
      <c r="G30"/>
      <c r="H30" s="37">
        <f>-0.7724-0.09</f>
        <v>-0.86239999999999994</v>
      </c>
      <c r="I30" s="10"/>
      <c r="J30" s="10"/>
      <c r="K30" s="10"/>
      <c r="L30" s="10"/>
      <c r="M30" s="45" t="s">
        <v>64</v>
      </c>
    </row>
    <row r="31" spans="1:14" x14ac:dyDescent="0.2">
      <c r="A31" s="2" t="s">
        <v>57</v>
      </c>
      <c r="B31" t="s">
        <v>14</v>
      </c>
      <c r="C31" s="43">
        <v>43717</v>
      </c>
      <c r="D31" s="2" t="s">
        <v>23</v>
      </c>
      <c r="E31" s="7"/>
      <c r="F31"/>
      <c r="G31"/>
      <c r="H31" s="37">
        <v>-1.3580000000000001</v>
      </c>
      <c r="I31" s="10"/>
      <c r="J31" s="10"/>
      <c r="K31" s="10"/>
      <c r="L31" s="10"/>
      <c r="M31" s="46">
        <v>-1.3580000000000001</v>
      </c>
    </row>
    <row r="32" spans="1:14" s="126" customFormat="1" ht="13.5" thickBot="1" x14ac:dyDescent="0.25">
      <c r="A32" s="120" t="s">
        <v>57</v>
      </c>
      <c r="B32" s="118" t="s">
        <v>14</v>
      </c>
      <c r="C32" s="119">
        <v>43717</v>
      </c>
      <c r="D32" s="120" t="s">
        <v>21</v>
      </c>
      <c r="E32" s="121"/>
      <c r="F32" s="118">
        <v>154293</v>
      </c>
      <c r="G32" s="118">
        <v>509718</v>
      </c>
      <c r="H32" s="122">
        <v>2.157</v>
      </c>
      <c r="I32" s="123"/>
      <c r="J32" s="123"/>
      <c r="K32" s="123"/>
      <c r="L32" s="123"/>
      <c r="M32" s="124">
        <v>2.157</v>
      </c>
      <c r="N32" s="125"/>
    </row>
    <row r="33" spans="1:14" x14ac:dyDescent="0.2">
      <c r="A33" s="2" t="s">
        <v>57</v>
      </c>
      <c r="B33" t="s">
        <v>14</v>
      </c>
      <c r="C33" s="43">
        <v>44182</v>
      </c>
      <c r="D33" s="2" t="s">
        <v>58</v>
      </c>
      <c r="E33" s="7">
        <v>14743</v>
      </c>
      <c r="F33"/>
      <c r="G33"/>
      <c r="H33" s="53">
        <f>-0.5188-0.565</f>
        <v>-1.0838000000000001</v>
      </c>
      <c r="I33" s="33"/>
      <c r="J33" s="14"/>
      <c r="K33" s="24">
        <v>0</v>
      </c>
      <c r="L33" s="93">
        <v>-906</v>
      </c>
      <c r="M33" s="45">
        <f>-0.5188-0.565</f>
        <v>-1.0838000000000001</v>
      </c>
    </row>
    <row r="34" spans="1:14" s="4" customFormat="1" x14ac:dyDescent="0.2">
      <c r="A34" s="2" t="s">
        <v>57</v>
      </c>
      <c r="B34" t="s">
        <v>14</v>
      </c>
      <c r="C34" s="43">
        <v>44182</v>
      </c>
      <c r="D34" s="2" t="s">
        <v>46</v>
      </c>
      <c r="E34" s="7">
        <v>13390037</v>
      </c>
      <c r="F34"/>
      <c r="G34"/>
      <c r="H34" s="37">
        <f>-0.9772-0.1</f>
        <v>-1.0771999999999999</v>
      </c>
      <c r="I34" s="10"/>
      <c r="J34" s="10"/>
      <c r="K34" s="10"/>
      <c r="L34" s="10"/>
      <c r="M34" s="46">
        <f>-0.9772-0.1</f>
        <v>-1.0771999999999999</v>
      </c>
      <c r="N34" s="14"/>
    </row>
    <row r="35" spans="1:14" x14ac:dyDescent="0.2">
      <c r="A35" s="2" t="s">
        <v>57</v>
      </c>
      <c r="B35" t="s">
        <v>14</v>
      </c>
      <c r="C35" s="43">
        <v>44182</v>
      </c>
      <c r="D35" s="2" t="s">
        <v>23</v>
      </c>
      <c r="E35" s="7"/>
      <c r="F35"/>
      <c r="G35"/>
      <c r="H35" s="37">
        <v>-1.9379</v>
      </c>
      <c r="I35" s="10"/>
      <c r="J35" s="10"/>
      <c r="K35" s="10"/>
      <c r="L35" s="10"/>
      <c r="M35" s="90" t="s">
        <v>210</v>
      </c>
    </row>
    <row r="36" spans="1:14" s="147" customFormat="1" x14ac:dyDescent="0.2">
      <c r="A36" s="140" t="s">
        <v>57</v>
      </c>
      <c r="B36" s="141" t="s">
        <v>14</v>
      </c>
      <c r="C36" s="142">
        <v>44182</v>
      </c>
      <c r="D36" s="140" t="s">
        <v>21</v>
      </c>
      <c r="E36" s="143"/>
      <c r="F36" s="141">
        <v>154260</v>
      </c>
      <c r="G36" s="141">
        <v>509694</v>
      </c>
      <c r="H36" s="148">
        <v>1.7249000000000001</v>
      </c>
      <c r="I36" s="144"/>
      <c r="J36" s="144"/>
      <c r="K36" s="144"/>
      <c r="L36" s="144"/>
      <c r="M36" s="145">
        <v>1.7249000000000001</v>
      </c>
      <c r="N36" s="146"/>
    </row>
    <row r="37" spans="1:14" x14ac:dyDescent="0.2">
      <c r="A37" s="2" t="s">
        <v>57</v>
      </c>
      <c r="B37" t="s">
        <v>14</v>
      </c>
      <c r="C37" s="43">
        <v>44222</v>
      </c>
      <c r="D37" s="2" t="s">
        <v>58</v>
      </c>
      <c r="E37" s="7">
        <v>14743</v>
      </c>
      <c r="F37"/>
      <c r="G37"/>
      <c r="H37" s="53">
        <f>-0.5188-0.565</f>
        <v>-1.0838000000000001</v>
      </c>
      <c r="I37" s="33"/>
      <c r="J37" s="14"/>
      <c r="K37" s="24">
        <v>0</v>
      </c>
      <c r="L37" s="98">
        <v>-906</v>
      </c>
      <c r="M37" s="106" t="s">
        <v>214</v>
      </c>
    </row>
    <row r="38" spans="1:14" x14ac:dyDescent="0.2">
      <c r="A38" s="2" t="s">
        <v>57</v>
      </c>
      <c r="B38" t="s">
        <v>14</v>
      </c>
      <c r="C38" s="43">
        <v>44222</v>
      </c>
      <c r="D38" s="2" t="s">
        <v>46</v>
      </c>
      <c r="E38" s="7">
        <v>13390037</v>
      </c>
      <c r="F38"/>
      <c r="G38"/>
      <c r="H38" s="37">
        <f>-0.9772-0.1</f>
        <v>-1.0771999999999999</v>
      </c>
      <c r="I38" s="10"/>
      <c r="J38" s="10"/>
      <c r="K38" s="10"/>
      <c r="L38" s="10"/>
      <c r="M38" s="160" t="s">
        <v>215</v>
      </c>
    </row>
    <row r="39" spans="1:14" x14ac:dyDescent="0.2">
      <c r="A39" s="2" t="s">
        <v>57</v>
      </c>
      <c r="B39" t="s">
        <v>14</v>
      </c>
      <c r="C39" s="43">
        <v>44222</v>
      </c>
      <c r="D39" s="2" t="s">
        <v>23</v>
      </c>
      <c r="E39" s="7"/>
      <c r="F39"/>
      <c r="G39"/>
      <c r="H39" s="159">
        <v>-1.8693</v>
      </c>
      <c r="I39" s="10"/>
      <c r="J39" s="10"/>
      <c r="K39" s="10"/>
      <c r="L39" s="10"/>
      <c r="M39" s="90">
        <v>-1.8693</v>
      </c>
    </row>
    <row r="40" spans="1:14" s="126" customFormat="1" ht="13.5" thickBot="1" x14ac:dyDescent="0.25">
      <c r="A40" s="120" t="s">
        <v>57</v>
      </c>
      <c r="B40" s="118" t="s">
        <v>14</v>
      </c>
      <c r="C40" s="119">
        <v>44222</v>
      </c>
      <c r="D40" s="120" t="s">
        <v>21</v>
      </c>
      <c r="E40" s="121"/>
      <c r="F40" s="118">
        <v>154260</v>
      </c>
      <c r="G40" s="118">
        <v>509694</v>
      </c>
      <c r="H40" s="122">
        <v>1.6695</v>
      </c>
      <c r="I40" s="123"/>
      <c r="J40" s="123"/>
      <c r="K40" s="123"/>
      <c r="L40" s="123"/>
      <c r="M40" s="124">
        <v>1.6695</v>
      </c>
      <c r="N40" s="125"/>
    </row>
    <row r="41" spans="1:14" x14ac:dyDescent="0.2">
      <c r="A41"/>
      <c r="B41"/>
      <c r="C41"/>
      <c r="D41"/>
      <c r="E41" s="7"/>
      <c r="F41"/>
      <c r="G41"/>
      <c r="H41" s="10"/>
      <c r="I41" s="10"/>
      <c r="J41" s="10"/>
      <c r="K41" s="10"/>
      <c r="L41" s="10"/>
      <c r="M41" s="51"/>
    </row>
    <row r="42" spans="1:14" x14ac:dyDescent="0.2">
      <c r="A42"/>
      <c r="B42"/>
      <c r="C42"/>
      <c r="D42"/>
      <c r="E42" s="7"/>
      <c r="F42"/>
      <c r="G42"/>
      <c r="H42" s="10"/>
      <c r="I42" s="10"/>
      <c r="J42" s="10"/>
      <c r="K42" s="10"/>
      <c r="L42" s="10"/>
      <c r="M42" s="51"/>
    </row>
    <row r="43" spans="1:14" x14ac:dyDescent="0.2">
      <c r="A43"/>
      <c r="B43"/>
      <c r="C43"/>
      <c r="D43"/>
      <c r="E43" s="7"/>
      <c r="F43"/>
      <c r="G43"/>
      <c r="H43" s="10"/>
      <c r="I43" s="10"/>
      <c r="J43" s="10"/>
      <c r="K43" s="10"/>
      <c r="L43" s="10"/>
      <c r="M43" s="46"/>
    </row>
    <row r="44" spans="1:14" x14ac:dyDescent="0.2">
      <c r="A44"/>
      <c r="B44"/>
      <c r="C44"/>
      <c r="D44"/>
      <c r="E44" s="7"/>
      <c r="F44"/>
      <c r="G44"/>
      <c r="H44" s="10"/>
      <c r="I44" s="10"/>
      <c r="J44" s="10"/>
      <c r="K44" s="10"/>
      <c r="L44" s="10"/>
      <c r="M44" s="51"/>
    </row>
    <row r="45" spans="1:14" x14ac:dyDescent="0.2">
      <c r="A45"/>
      <c r="B45"/>
      <c r="C45"/>
      <c r="D45"/>
      <c r="E45" s="7"/>
      <c r="F45"/>
      <c r="G45"/>
      <c r="H45" s="10"/>
      <c r="I45" s="10"/>
      <c r="J45" s="10"/>
      <c r="K45" s="10"/>
      <c r="L45" s="10"/>
      <c r="M45" s="51"/>
    </row>
    <row r="46" spans="1:14" x14ac:dyDescent="0.2">
      <c r="A46"/>
      <c r="B46"/>
      <c r="C46"/>
      <c r="D46"/>
      <c r="E46" s="7"/>
      <c r="F46"/>
      <c r="G46"/>
      <c r="H46" s="10"/>
      <c r="I46" s="10"/>
      <c r="J46" s="10"/>
      <c r="K46" s="10"/>
      <c r="L46" s="10"/>
      <c r="M46" s="51"/>
    </row>
    <row r="47" spans="1:14" x14ac:dyDescent="0.2">
      <c r="A47"/>
      <c r="B47"/>
      <c r="C47"/>
      <c r="D47"/>
      <c r="E47" s="7"/>
      <c r="F47"/>
      <c r="G47"/>
      <c r="H47" s="10"/>
      <c r="I47" s="10"/>
      <c r="J47" s="10"/>
      <c r="K47" s="10"/>
      <c r="L47" s="10"/>
      <c r="M47" s="51"/>
    </row>
    <row r="48" spans="1:14" x14ac:dyDescent="0.2">
      <c r="A48"/>
      <c r="B48"/>
      <c r="C48"/>
      <c r="D48"/>
      <c r="E48" s="7"/>
      <c r="F48"/>
      <c r="G48"/>
      <c r="H48" s="10"/>
      <c r="I48" s="10"/>
      <c r="J48" s="10"/>
      <c r="K48" s="10"/>
      <c r="L48" s="10"/>
      <c r="M48" s="51"/>
    </row>
    <row r="49" spans="1:13" x14ac:dyDescent="0.2">
      <c r="A49"/>
      <c r="B49"/>
      <c r="C49"/>
      <c r="D49"/>
      <c r="E49" s="7"/>
      <c r="F49"/>
      <c r="G49"/>
      <c r="H49" s="10"/>
      <c r="I49" s="10"/>
      <c r="J49" s="10"/>
      <c r="K49" s="10"/>
      <c r="L49" s="10"/>
      <c r="M49" s="51"/>
    </row>
    <row r="50" spans="1:13" x14ac:dyDescent="0.2">
      <c r="A50"/>
      <c r="B50"/>
      <c r="C50"/>
      <c r="D50"/>
      <c r="E50" s="7"/>
      <c r="F50"/>
      <c r="G50"/>
      <c r="H50" s="10"/>
      <c r="I50" s="10"/>
      <c r="J50" s="10"/>
      <c r="K50" s="10"/>
      <c r="L50" s="10"/>
      <c r="M50" s="51"/>
    </row>
    <row r="51" spans="1:13" x14ac:dyDescent="0.2">
      <c r="A51"/>
      <c r="B51"/>
      <c r="C51"/>
      <c r="D51"/>
      <c r="E51" s="7"/>
      <c r="F51"/>
      <c r="G51"/>
      <c r="H51" s="10"/>
      <c r="I51" s="10"/>
      <c r="J51" s="10"/>
      <c r="K51" s="10"/>
      <c r="L51" s="10"/>
      <c r="M51" s="51"/>
    </row>
    <row r="52" spans="1:13" x14ac:dyDescent="0.2">
      <c r="A52"/>
      <c r="B52"/>
      <c r="C52"/>
      <c r="D52"/>
      <c r="E52" s="7"/>
      <c r="F52"/>
      <c r="G52"/>
      <c r="H52" s="10"/>
      <c r="I52" s="10"/>
      <c r="J52" s="10"/>
      <c r="K52" s="10"/>
      <c r="L52" s="10"/>
      <c r="M52" s="51"/>
    </row>
    <row r="53" spans="1:13" x14ac:dyDescent="0.2">
      <c r="A53"/>
      <c r="B53"/>
      <c r="C53"/>
      <c r="D53"/>
      <c r="E53" s="7"/>
      <c r="F53"/>
      <c r="G53"/>
      <c r="H53" s="10"/>
      <c r="I53" s="10"/>
      <c r="J53" s="10"/>
      <c r="K53" s="10"/>
      <c r="L53" s="10"/>
      <c r="M53" s="51"/>
    </row>
    <row r="54" spans="1:13" x14ac:dyDescent="0.2">
      <c r="A54"/>
      <c r="B54"/>
      <c r="C54"/>
      <c r="D54"/>
      <c r="E54" s="7"/>
      <c r="F54"/>
      <c r="G54"/>
      <c r="H54" s="10"/>
      <c r="I54" s="10"/>
      <c r="J54" s="10"/>
      <c r="K54" s="10"/>
      <c r="L54" s="10"/>
      <c r="M54" s="51"/>
    </row>
    <row r="55" spans="1:13" x14ac:dyDescent="0.2">
      <c r="A55"/>
      <c r="B55"/>
      <c r="C55"/>
      <c r="D55"/>
      <c r="E55" s="7"/>
      <c r="F55"/>
      <c r="G55"/>
      <c r="H55" s="10"/>
      <c r="I55" s="10"/>
      <c r="J55" s="10"/>
      <c r="K55" s="10"/>
      <c r="L55" s="10"/>
      <c r="M55" s="51"/>
    </row>
    <row r="56" spans="1:13" ht="33.75" customHeight="1" x14ac:dyDescent="0.2">
      <c r="A56"/>
      <c r="B56"/>
      <c r="C56"/>
      <c r="D56"/>
      <c r="E56" s="7"/>
      <c r="F56"/>
      <c r="G56"/>
      <c r="H56" s="10"/>
      <c r="I56" s="10"/>
      <c r="J56" s="10"/>
      <c r="K56" s="10"/>
      <c r="L56" s="10"/>
      <c r="M56" s="51"/>
    </row>
    <row r="57" spans="1:13" x14ac:dyDescent="0.2">
      <c r="A57"/>
      <c r="B57"/>
      <c r="C57"/>
      <c r="D57"/>
      <c r="E57" s="7"/>
      <c r="F57"/>
      <c r="G57"/>
      <c r="H57" s="10"/>
      <c r="I57" s="10"/>
      <c r="J57" s="10"/>
      <c r="K57" s="10"/>
      <c r="L57" s="10"/>
      <c r="M57" s="51"/>
    </row>
    <row r="58" spans="1:13" x14ac:dyDescent="0.2">
      <c r="A58"/>
      <c r="B58"/>
      <c r="C58"/>
      <c r="D58"/>
      <c r="E58" s="7"/>
      <c r="F58"/>
      <c r="G58"/>
      <c r="H58" s="10"/>
      <c r="I58" s="10"/>
      <c r="J58" s="10"/>
      <c r="K58" s="10"/>
      <c r="L58" s="10"/>
      <c r="M58" s="51"/>
    </row>
    <row r="59" spans="1:13" x14ac:dyDescent="0.2">
      <c r="A59"/>
      <c r="B59"/>
      <c r="C59"/>
      <c r="D59"/>
      <c r="E59" s="7"/>
      <c r="F59"/>
      <c r="G59"/>
      <c r="H59" s="10"/>
      <c r="I59" s="10"/>
      <c r="J59" s="10"/>
      <c r="K59" s="10"/>
      <c r="L59" s="10"/>
      <c r="M59" s="51"/>
    </row>
    <row r="60" spans="1:13" x14ac:dyDescent="0.2">
      <c r="A60"/>
      <c r="B60"/>
      <c r="C60"/>
      <c r="D60"/>
      <c r="E60" s="7"/>
      <c r="F60"/>
      <c r="G60"/>
      <c r="H60" s="10"/>
      <c r="I60" s="10"/>
      <c r="J60" s="10"/>
      <c r="K60" s="10"/>
      <c r="L60" s="10"/>
      <c r="M60" s="51"/>
    </row>
    <row r="61" spans="1:13" x14ac:dyDescent="0.2">
      <c r="A61"/>
      <c r="B61"/>
      <c r="C61"/>
      <c r="D61"/>
      <c r="E61" s="7"/>
      <c r="F61"/>
      <c r="G61"/>
      <c r="H61" s="10"/>
      <c r="I61" s="10"/>
      <c r="J61" s="10"/>
      <c r="K61" s="10"/>
      <c r="L61" s="10"/>
      <c r="M61" s="51"/>
    </row>
    <row r="62" spans="1:13" x14ac:dyDescent="0.2">
      <c r="A62"/>
      <c r="B62"/>
      <c r="C62"/>
      <c r="D62"/>
      <c r="E62" s="7"/>
      <c r="F62"/>
      <c r="G62"/>
      <c r="H62" s="10"/>
      <c r="I62" s="10"/>
      <c r="J62" s="10"/>
      <c r="K62" s="10"/>
      <c r="L62" s="10"/>
      <c r="M62" s="51"/>
    </row>
    <row r="63" spans="1:13" x14ac:dyDescent="0.2">
      <c r="A63"/>
      <c r="B63"/>
      <c r="C63"/>
      <c r="D63"/>
      <c r="E63" s="7"/>
      <c r="F63"/>
      <c r="G63"/>
      <c r="H63" s="10"/>
      <c r="I63" s="10"/>
      <c r="J63" s="10"/>
      <c r="K63" s="10"/>
      <c r="L63" s="10"/>
      <c r="M63" s="51"/>
    </row>
    <row r="64" spans="1:13" x14ac:dyDescent="0.2">
      <c r="A64"/>
      <c r="B64"/>
      <c r="C64"/>
      <c r="D64"/>
      <c r="E64" s="7"/>
      <c r="F64"/>
      <c r="G64"/>
      <c r="H64" s="10"/>
      <c r="I64" s="10"/>
      <c r="J64" s="10"/>
      <c r="K64" s="10"/>
      <c r="L64" s="10"/>
      <c r="M64" s="51"/>
    </row>
    <row r="65" spans="1:13" x14ac:dyDescent="0.2">
      <c r="A65"/>
      <c r="B65"/>
      <c r="C65"/>
      <c r="D65"/>
      <c r="E65" s="7"/>
      <c r="F65"/>
      <c r="G65"/>
      <c r="H65" s="10"/>
      <c r="I65" s="10"/>
      <c r="J65" s="10"/>
      <c r="K65" s="10"/>
      <c r="L65" s="10"/>
      <c r="M65" s="51"/>
    </row>
    <row r="66" spans="1:13" x14ac:dyDescent="0.2">
      <c r="A66"/>
      <c r="B66"/>
      <c r="C66"/>
      <c r="D66"/>
      <c r="E66" s="7"/>
      <c r="F66"/>
      <c r="G66"/>
      <c r="H66" s="10"/>
      <c r="I66" s="10"/>
      <c r="J66" s="10"/>
      <c r="K66" s="10"/>
      <c r="L66" s="10"/>
      <c r="M66" s="51"/>
    </row>
    <row r="67" spans="1:13" x14ac:dyDescent="0.2">
      <c r="A67"/>
      <c r="B67"/>
      <c r="C67"/>
      <c r="D67"/>
      <c r="E67" s="7"/>
      <c r="F67"/>
      <c r="G67"/>
      <c r="H67" s="10"/>
      <c r="I67" s="10"/>
      <c r="J67" s="10"/>
      <c r="K67" s="10"/>
      <c r="L67" s="10"/>
      <c r="M67" s="51"/>
    </row>
    <row r="68" spans="1:13" ht="58.5" customHeight="1" x14ac:dyDescent="0.2">
      <c r="A68"/>
      <c r="B68"/>
      <c r="C68"/>
      <c r="D68"/>
      <c r="E68" s="7"/>
      <c r="F68"/>
      <c r="G68"/>
      <c r="H68" s="10"/>
      <c r="I68" s="10"/>
      <c r="J68" s="10"/>
      <c r="K68" s="10"/>
      <c r="L68" s="10"/>
      <c r="M68" s="51"/>
    </row>
    <row r="69" spans="1:13" x14ac:dyDescent="0.2">
      <c r="A69"/>
      <c r="B69"/>
      <c r="C69"/>
      <c r="D69"/>
      <c r="E69" s="7"/>
      <c r="F69"/>
      <c r="G69"/>
      <c r="H69" s="10"/>
      <c r="I69" s="10"/>
      <c r="J69" s="10"/>
      <c r="K69" s="10"/>
      <c r="L69" s="10"/>
      <c r="M69" s="51"/>
    </row>
    <row r="70" spans="1:13" x14ac:dyDescent="0.2">
      <c r="A70"/>
      <c r="B70"/>
      <c r="C70"/>
      <c r="D70"/>
      <c r="E70" s="7"/>
      <c r="F70"/>
      <c r="G70"/>
      <c r="H70" s="10"/>
      <c r="I70" s="10"/>
      <c r="J70" s="10"/>
      <c r="K70" s="10"/>
      <c r="L70" s="10"/>
      <c r="M70" s="51"/>
    </row>
    <row r="71" spans="1:13" x14ac:dyDescent="0.2">
      <c r="A71"/>
      <c r="B71"/>
      <c r="C71"/>
      <c r="D71"/>
      <c r="E71" s="7"/>
      <c r="F71"/>
      <c r="G71"/>
      <c r="H71" s="10"/>
      <c r="I71" s="10"/>
      <c r="J71" s="10"/>
      <c r="K71" s="10"/>
      <c r="L71" s="10"/>
      <c r="M71" s="51"/>
    </row>
    <row r="72" spans="1:13" x14ac:dyDescent="0.2">
      <c r="A72"/>
      <c r="B72"/>
      <c r="C72"/>
      <c r="D72"/>
      <c r="E72" s="7"/>
      <c r="F72"/>
      <c r="G72"/>
      <c r="H72" s="10"/>
      <c r="I72" s="10"/>
      <c r="J72" s="10"/>
      <c r="K72" s="10"/>
      <c r="L72" s="10"/>
      <c r="M72" s="51"/>
    </row>
    <row r="73" spans="1:13" x14ac:dyDescent="0.2">
      <c r="A73"/>
      <c r="B73"/>
      <c r="C73"/>
      <c r="D73"/>
      <c r="E73" s="7"/>
      <c r="F73"/>
      <c r="G73"/>
      <c r="H73" s="10"/>
      <c r="I73" s="10"/>
      <c r="J73" s="10"/>
      <c r="K73" s="10"/>
      <c r="L73" s="10"/>
      <c r="M73" s="51"/>
    </row>
    <row r="74" spans="1:13" x14ac:dyDescent="0.2">
      <c r="A74"/>
      <c r="B74"/>
      <c r="C74"/>
      <c r="D74"/>
      <c r="E74" s="7"/>
      <c r="F74"/>
      <c r="G74"/>
      <c r="H74" s="10"/>
      <c r="I74" s="10"/>
      <c r="J74" s="10"/>
      <c r="K74" s="10"/>
      <c r="L74" s="10"/>
      <c r="M74" s="51"/>
    </row>
    <row r="75" spans="1:13" x14ac:dyDescent="0.2">
      <c r="A75"/>
      <c r="B75"/>
      <c r="C75"/>
      <c r="D75"/>
      <c r="E75" s="7"/>
      <c r="F75"/>
      <c r="G75"/>
      <c r="H75" s="10"/>
      <c r="I75" s="10"/>
      <c r="J75" s="10"/>
      <c r="K75" s="10"/>
      <c r="L75" s="10"/>
      <c r="M75" s="51"/>
    </row>
    <row r="76" spans="1:13" x14ac:dyDescent="0.2">
      <c r="A76"/>
      <c r="B76"/>
      <c r="C76"/>
      <c r="D76"/>
      <c r="E76" s="7"/>
      <c r="F76"/>
      <c r="G76"/>
      <c r="H76" s="10"/>
      <c r="I76" s="10"/>
      <c r="J76" s="10"/>
      <c r="K76" s="10"/>
      <c r="L76" s="10"/>
      <c r="M76" s="51"/>
    </row>
    <row r="77" spans="1:13" x14ac:dyDescent="0.2">
      <c r="A77"/>
      <c r="B77"/>
      <c r="C77"/>
      <c r="D77"/>
      <c r="E77" s="7"/>
      <c r="F77"/>
      <c r="G77"/>
      <c r="H77" s="10"/>
      <c r="I77" s="10"/>
      <c r="J77" s="10"/>
      <c r="K77" s="10"/>
      <c r="L77" s="10"/>
      <c r="M77" s="51"/>
    </row>
    <row r="78" spans="1:13" x14ac:dyDescent="0.2">
      <c r="A78"/>
      <c r="B78"/>
      <c r="C78"/>
      <c r="D78"/>
      <c r="E78" s="7"/>
      <c r="F78"/>
      <c r="G78"/>
      <c r="H78" s="10"/>
      <c r="I78" s="10"/>
      <c r="J78" s="10"/>
      <c r="K78" s="10"/>
      <c r="L78" s="10"/>
      <c r="M78" s="51"/>
    </row>
    <row r="79" spans="1:13" x14ac:dyDescent="0.2">
      <c r="A79"/>
      <c r="B79"/>
      <c r="C79"/>
      <c r="D79"/>
      <c r="E79" s="7"/>
      <c r="F79"/>
      <c r="G79"/>
      <c r="H79" s="10"/>
      <c r="I79" s="10"/>
      <c r="J79" s="10"/>
      <c r="K79" s="10"/>
      <c r="L79" s="10"/>
      <c r="M79" s="51"/>
    </row>
    <row r="80" spans="1:13" x14ac:dyDescent="0.2">
      <c r="A80"/>
      <c r="B80"/>
      <c r="C80"/>
      <c r="D80"/>
      <c r="E80" s="7"/>
      <c r="F80"/>
      <c r="G80"/>
      <c r="H80" s="10"/>
      <c r="I80" s="10"/>
      <c r="J80" s="10"/>
      <c r="K80" s="10"/>
      <c r="L80" s="10"/>
      <c r="M80" s="51"/>
    </row>
    <row r="81" spans="1:13" x14ac:dyDescent="0.2">
      <c r="A81"/>
      <c r="B81"/>
      <c r="C81"/>
      <c r="D81"/>
      <c r="E81" s="7"/>
      <c r="F81"/>
      <c r="G81"/>
      <c r="H81" s="10"/>
      <c r="I81" s="10"/>
      <c r="J81" s="10"/>
      <c r="K81" s="10"/>
      <c r="L81" s="10"/>
      <c r="M81" s="51"/>
    </row>
    <row r="82" spans="1:13" x14ac:dyDescent="0.2">
      <c r="A82"/>
      <c r="B82"/>
      <c r="C82"/>
      <c r="D82"/>
      <c r="E82" s="7"/>
      <c r="F82"/>
      <c r="G82"/>
      <c r="H82" s="10"/>
      <c r="I82" s="10"/>
      <c r="J82" s="10"/>
      <c r="K82" s="10"/>
      <c r="L82" s="10"/>
      <c r="M82" s="51"/>
    </row>
    <row r="83" spans="1:13" ht="42.75" customHeight="1" x14ac:dyDescent="0.2">
      <c r="A83"/>
      <c r="B83"/>
      <c r="C83"/>
      <c r="D83"/>
      <c r="E83" s="7"/>
      <c r="F83"/>
      <c r="G83"/>
      <c r="H83" s="10"/>
      <c r="I83" s="10"/>
      <c r="J83" s="10"/>
      <c r="K83" s="10"/>
      <c r="L83" s="10"/>
      <c r="M83" s="51"/>
    </row>
    <row r="84" spans="1:13" x14ac:dyDescent="0.2">
      <c r="A84"/>
      <c r="B84"/>
      <c r="C84"/>
      <c r="D84"/>
      <c r="E84" s="7"/>
      <c r="F84"/>
      <c r="G84"/>
      <c r="H84" s="10"/>
      <c r="I84" s="10"/>
      <c r="J84" s="10"/>
      <c r="K84" s="10"/>
      <c r="L84" s="10"/>
      <c r="M84" s="51"/>
    </row>
    <row r="85" spans="1:13" ht="12.75" customHeight="1" x14ac:dyDescent="0.2">
      <c r="A85"/>
      <c r="B85"/>
      <c r="C85"/>
      <c r="D85"/>
      <c r="E85" s="7"/>
      <c r="F85"/>
      <c r="G85"/>
      <c r="H85" s="10"/>
      <c r="I85" s="10"/>
      <c r="J85" s="10"/>
      <c r="K85" s="10"/>
      <c r="L85" s="10"/>
      <c r="M85" s="51"/>
    </row>
    <row r="86" spans="1:13" ht="12.75" customHeight="1" x14ac:dyDescent="0.2">
      <c r="A86"/>
      <c r="B86"/>
      <c r="C86"/>
      <c r="D86"/>
      <c r="E86" s="7"/>
      <c r="F86"/>
      <c r="G86"/>
      <c r="H86" s="10"/>
      <c r="I86" s="10"/>
      <c r="J86" s="10"/>
      <c r="K86" s="10"/>
      <c r="L86" s="10"/>
      <c r="M86" s="51"/>
    </row>
    <row r="87" spans="1:13" x14ac:dyDescent="0.2">
      <c r="A87"/>
      <c r="B87"/>
      <c r="C87"/>
      <c r="D87"/>
      <c r="E87" s="7"/>
      <c r="F87"/>
      <c r="G87"/>
      <c r="H87" s="10"/>
      <c r="I87" s="10"/>
      <c r="J87" s="10"/>
      <c r="K87" s="10"/>
      <c r="L87" s="10"/>
      <c r="M87" s="51"/>
    </row>
    <row r="88" spans="1:13" x14ac:dyDescent="0.2">
      <c r="A88"/>
      <c r="B88"/>
      <c r="C88"/>
      <c r="D88"/>
      <c r="E88" s="7"/>
      <c r="F88"/>
      <c r="G88"/>
      <c r="H88" s="10"/>
      <c r="I88" s="10"/>
      <c r="J88" s="10"/>
      <c r="K88" s="10"/>
      <c r="L88" s="10"/>
      <c r="M88" s="51"/>
    </row>
    <row r="89" spans="1:13" x14ac:dyDescent="0.2">
      <c r="A89"/>
      <c r="B89"/>
      <c r="C89"/>
      <c r="D89"/>
      <c r="E89" s="7"/>
      <c r="F89"/>
      <c r="G89"/>
      <c r="H89" s="10"/>
      <c r="I89" s="10"/>
      <c r="J89" s="10"/>
      <c r="K89" s="10"/>
      <c r="L89" s="10"/>
      <c r="M89" s="51"/>
    </row>
    <row r="90" spans="1:13" x14ac:dyDescent="0.2">
      <c r="A90"/>
      <c r="B90"/>
      <c r="C90"/>
      <c r="D90"/>
      <c r="E90" s="7"/>
      <c r="F90"/>
      <c r="G90"/>
      <c r="H90" s="10"/>
      <c r="I90" s="10"/>
      <c r="J90" s="10"/>
      <c r="K90" s="10"/>
      <c r="L90" s="10"/>
      <c r="M90" s="51"/>
    </row>
    <row r="91" spans="1:13" x14ac:dyDescent="0.2">
      <c r="A91"/>
      <c r="B91"/>
      <c r="C91"/>
      <c r="D91"/>
      <c r="E91" s="7"/>
      <c r="F91"/>
      <c r="G91"/>
      <c r="H91" s="10"/>
      <c r="I91" s="10"/>
      <c r="J91" s="10"/>
      <c r="K91" s="10"/>
      <c r="L91" s="10"/>
      <c r="M91" s="51"/>
    </row>
    <row r="92" spans="1:13" x14ac:dyDescent="0.2">
      <c r="A92"/>
      <c r="B92"/>
      <c r="C92"/>
      <c r="D92"/>
      <c r="E92" s="7"/>
      <c r="F92"/>
      <c r="G92"/>
      <c r="H92" s="10"/>
      <c r="I92" s="10"/>
      <c r="J92" s="10"/>
      <c r="K92" s="10"/>
      <c r="L92" s="10"/>
      <c r="M92" s="51"/>
    </row>
    <row r="93" spans="1:13" x14ac:dyDescent="0.2">
      <c r="A93"/>
      <c r="B93"/>
      <c r="C93"/>
      <c r="D93"/>
      <c r="E93" s="7"/>
      <c r="F93"/>
      <c r="G93"/>
      <c r="H93" s="10"/>
      <c r="I93" s="10"/>
      <c r="J93" s="10"/>
      <c r="K93" s="10"/>
      <c r="L93" s="10"/>
      <c r="M93" s="51"/>
    </row>
    <row r="94" spans="1:13" x14ac:dyDescent="0.2">
      <c r="A94"/>
      <c r="B94"/>
      <c r="C94"/>
      <c r="D94"/>
      <c r="E94" s="7"/>
      <c r="F94"/>
      <c r="G94"/>
      <c r="H94" s="10"/>
      <c r="I94" s="10"/>
      <c r="J94" s="10"/>
      <c r="K94" s="10"/>
      <c r="L94" s="10"/>
      <c r="M94" s="51"/>
    </row>
    <row r="95" spans="1:13" x14ac:dyDescent="0.2">
      <c r="A95"/>
      <c r="B95"/>
      <c r="C95"/>
      <c r="D95"/>
      <c r="E95" s="7"/>
      <c r="F95"/>
      <c r="G95"/>
      <c r="H95" s="10"/>
      <c r="I95" s="10"/>
      <c r="J95" s="10"/>
      <c r="K95" s="10"/>
      <c r="L95" s="10"/>
      <c r="M95" s="51"/>
    </row>
    <row r="96" spans="1:13" x14ac:dyDescent="0.2">
      <c r="A96"/>
      <c r="B96"/>
      <c r="C96"/>
      <c r="D96"/>
      <c r="E96" s="7"/>
      <c r="F96"/>
      <c r="G96"/>
      <c r="H96" s="10"/>
      <c r="I96" s="10"/>
      <c r="J96" s="10"/>
      <c r="K96" s="10"/>
      <c r="L96" s="10"/>
      <c r="M96" s="51"/>
    </row>
    <row r="97" spans="1:13" x14ac:dyDescent="0.2">
      <c r="A97"/>
      <c r="B97"/>
      <c r="C97"/>
      <c r="D97"/>
      <c r="E97" s="7"/>
      <c r="F97"/>
      <c r="G97"/>
      <c r="H97" s="10"/>
      <c r="I97" s="10"/>
      <c r="J97" s="10"/>
      <c r="K97" s="10"/>
      <c r="L97" s="10"/>
      <c r="M97" s="51"/>
    </row>
    <row r="98" spans="1:13" x14ac:dyDescent="0.2">
      <c r="A98"/>
      <c r="B98"/>
      <c r="C98"/>
      <c r="D98"/>
      <c r="E98" s="7"/>
      <c r="F98"/>
      <c r="G98"/>
      <c r="H98" s="10"/>
      <c r="I98" s="10"/>
      <c r="J98" s="10"/>
      <c r="K98" s="10"/>
      <c r="L98" s="10"/>
      <c r="M98" s="51"/>
    </row>
    <row r="99" spans="1:13" x14ac:dyDescent="0.2">
      <c r="A99"/>
      <c r="B99"/>
      <c r="C99"/>
      <c r="D99"/>
      <c r="E99" s="7"/>
      <c r="F99"/>
      <c r="G99"/>
      <c r="H99" s="10"/>
      <c r="I99" s="10"/>
      <c r="J99" s="10"/>
      <c r="K99" s="10"/>
      <c r="L99" s="10"/>
      <c r="M99" s="51"/>
    </row>
    <row r="100" spans="1:13" x14ac:dyDescent="0.2">
      <c r="A100"/>
      <c r="B100"/>
      <c r="C100"/>
      <c r="D100"/>
      <c r="E100" s="7"/>
      <c r="F100"/>
      <c r="G100"/>
      <c r="H100" s="10"/>
      <c r="I100" s="10"/>
      <c r="J100" s="10"/>
      <c r="K100" s="10"/>
      <c r="L100" s="10"/>
      <c r="M100" s="51"/>
    </row>
    <row r="101" spans="1:13" x14ac:dyDescent="0.2">
      <c r="A101"/>
      <c r="B101"/>
      <c r="C101"/>
      <c r="D101"/>
      <c r="E101" s="7"/>
      <c r="F101"/>
      <c r="G101"/>
      <c r="H101" s="10"/>
      <c r="I101" s="10"/>
      <c r="J101" s="10"/>
      <c r="K101" s="10"/>
      <c r="L101" s="10"/>
      <c r="M101" s="51"/>
    </row>
    <row r="102" spans="1:13" x14ac:dyDescent="0.2">
      <c r="A102"/>
      <c r="B102"/>
      <c r="C102"/>
      <c r="D102"/>
      <c r="E102" s="7"/>
      <c r="F102"/>
      <c r="G102"/>
      <c r="H102" s="10"/>
      <c r="I102" s="10"/>
      <c r="J102" s="10"/>
      <c r="K102" s="10"/>
      <c r="L102" s="10"/>
      <c r="M102" s="51"/>
    </row>
    <row r="103" spans="1:13" x14ac:dyDescent="0.2">
      <c r="A103"/>
      <c r="B103"/>
      <c r="C103"/>
      <c r="D103"/>
      <c r="E103" s="7"/>
      <c r="F103"/>
      <c r="G103"/>
      <c r="H103" s="10"/>
      <c r="I103" s="10"/>
      <c r="J103" s="10"/>
      <c r="K103" s="10"/>
      <c r="L103" s="10"/>
      <c r="M103" s="51"/>
    </row>
    <row r="104" spans="1:13" x14ac:dyDescent="0.2">
      <c r="A104"/>
      <c r="B104"/>
      <c r="C104"/>
      <c r="D104"/>
      <c r="E104" s="7"/>
      <c r="F104"/>
      <c r="G104"/>
      <c r="H104" s="10"/>
      <c r="I104" s="10"/>
      <c r="J104" s="10"/>
      <c r="K104" s="10"/>
      <c r="L104" s="10"/>
      <c r="M104" s="51"/>
    </row>
    <row r="105" spans="1:13" x14ac:dyDescent="0.2">
      <c r="A105"/>
      <c r="B105"/>
      <c r="C105"/>
      <c r="D105"/>
      <c r="E105" s="7"/>
      <c r="F105"/>
      <c r="G105"/>
      <c r="H105" s="10"/>
      <c r="I105" s="10"/>
      <c r="J105" s="10"/>
      <c r="K105" s="10"/>
      <c r="L105" s="10"/>
      <c r="M105" s="51"/>
    </row>
    <row r="106" spans="1:13" x14ac:dyDescent="0.2">
      <c r="A106"/>
      <c r="B106"/>
      <c r="C106"/>
      <c r="D106"/>
      <c r="E106" s="7"/>
      <c r="F106"/>
      <c r="G106"/>
      <c r="H106" s="10"/>
      <c r="I106" s="10"/>
      <c r="J106" s="10"/>
      <c r="K106" s="10"/>
      <c r="L106" s="10"/>
      <c r="M106" s="51"/>
    </row>
    <row r="107" spans="1:13" x14ac:dyDescent="0.2">
      <c r="A107"/>
      <c r="B107"/>
      <c r="C107"/>
      <c r="D107"/>
      <c r="E107" s="7"/>
      <c r="F107"/>
      <c r="G107"/>
      <c r="H107" s="10"/>
      <c r="I107" s="10"/>
      <c r="J107" s="10"/>
      <c r="K107" s="10"/>
      <c r="L107" s="10"/>
      <c r="M107" s="51"/>
    </row>
    <row r="108" spans="1:13" x14ac:dyDescent="0.2">
      <c r="A108"/>
      <c r="B108"/>
      <c r="C108"/>
      <c r="D108"/>
      <c r="E108" s="7"/>
      <c r="F108"/>
      <c r="G108"/>
      <c r="H108" s="10"/>
      <c r="I108" s="10"/>
      <c r="J108" s="10"/>
      <c r="K108" s="10"/>
      <c r="L108" s="10"/>
      <c r="M108" s="51"/>
    </row>
    <row r="109" spans="1:13" x14ac:dyDescent="0.2">
      <c r="A109"/>
      <c r="B109"/>
      <c r="C109"/>
      <c r="D109"/>
      <c r="E109" s="7"/>
      <c r="F109"/>
      <c r="G109"/>
      <c r="H109" s="10"/>
      <c r="I109" s="10"/>
      <c r="J109" s="10"/>
      <c r="K109" s="10"/>
      <c r="L109" s="10"/>
      <c r="M109" s="51"/>
    </row>
    <row r="110" spans="1:13" x14ac:dyDescent="0.2">
      <c r="A110"/>
      <c r="B110"/>
      <c r="C110"/>
      <c r="D110"/>
      <c r="E110" s="7"/>
      <c r="F110"/>
      <c r="G110"/>
      <c r="H110" s="10"/>
      <c r="I110" s="10"/>
      <c r="J110" s="10"/>
      <c r="K110" s="10"/>
      <c r="L110" s="10"/>
      <c r="M110" s="51"/>
    </row>
    <row r="111" spans="1:13" x14ac:dyDescent="0.2">
      <c r="A111"/>
      <c r="B111"/>
      <c r="C111"/>
      <c r="D111"/>
      <c r="E111" s="7"/>
      <c r="F111"/>
      <c r="G111"/>
      <c r="H111" s="10"/>
      <c r="I111" s="10"/>
      <c r="J111" s="10"/>
      <c r="K111" s="10"/>
      <c r="L111" s="10"/>
      <c r="M111" s="51"/>
    </row>
    <row r="112" spans="1:13" x14ac:dyDescent="0.2">
      <c r="A112"/>
      <c r="B112"/>
      <c r="C112"/>
      <c r="D112"/>
      <c r="E112" s="7"/>
      <c r="F112"/>
      <c r="G112"/>
      <c r="H112" s="10"/>
      <c r="I112" s="10"/>
      <c r="J112" s="10"/>
      <c r="K112" s="10"/>
      <c r="L112" s="10"/>
      <c r="M112" s="51"/>
    </row>
    <row r="113" spans="1:13" x14ac:dyDescent="0.2">
      <c r="A113"/>
      <c r="B113"/>
      <c r="C113"/>
      <c r="D113"/>
      <c r="E113" s="7"/>
      <c r="F113"/>
      <c r="G113"/>
      <c r="H113" s="10"/>
      <c r="I113" s="10"/>
      <c r="J113" s="10"/>
      <c r="K113" s="10"/>
      <c r="L113" s="10"/>
      <c r="M113" s="51"/>
    </row>
    <row r="114" spans="1:13" x14ac:dyDescent="0.2">
      <c r="A114"/>
      <c r="B114"/>
      <c r="C114"/>
      <c r="D114"/>
      <c r="E114" s="7"/>
      <c r="F114"/>
      <c r="G114"/>
      <c r="H114" s="10"/>
      <c r="I114" s="10"/>
      <c r="J114" s="10"/>
      <c r="K114" s="10"/>
      <c r="L114" s="10"/>
      <c r="M114" s="51"/>
    </row>
    <row r="115" spans="1:13" x14ac:dyDescent="0.2">
      <c r="A115"/>
      <c r="B115"/>
      <c r="C115"/>
      <c r="D115"/>
      <c r="E115" s="7"/>
      <c r="F115"/>
      <c r="G115"/>
      <c r="H115" s="10"/>
      <c r="I115" s="10"/>
      <c r="J115" s="10"/>
      <c r="K115" s="10"/>
      <c r="L115" s="10"/>
      <c r="M115" s="51"/>
    </row>
    <row r="116" spans="1:13" x14ac:dyDescent="0.2">
      <c r="A116"/>
      <c r="B116"/>
      <c r="C116"/>
      <c r="D116"/>
      <c r="E116" s="7"/>
      <c r="F116"/>
      <c r="G116"/>
      <c r="H116" s="10"/>
      <c r="I116" s="10"/>
      <c r="J116" s="10"/>
      <c r="K116" s="10"/>
      <c r="L116" s="10"/>
      <c r="M116" s="51"/>
    </row>
    <row r="117" spans="1:13" x14ac:dyDescent="0.2">
      <c r="A117"/>
      <c r="B117"/>
      <c r="C117"/>
      <c r="D117"/>
      <c r="E117" s="7"/>
      <c r="F117"/>
      <c r="G117"/>
      <c r="H117" s="10"/>
      <c r="I117" s="10"/>
      <c r="J117" s="10"/>
      <c r="K117" s="10"/>
      <c r="L117" s="10"/>
      <c r="M117" s="51"/>
    </row>
    <row r="118" spans="1:13" x14ac:dyDescent="0.2">
      <c r="A118"/>
      <c r="B118"/>
      <c r="C118"/>
      <c r="D118"/>
      <c r="E118" s="7"/>
      <c r="F118"/>
      <c r="G118"/>
      <c r="H118" s="10"/>
      <c r="I118" s="10"/>
      <c r="J118" s="10"/>
      <c r="K118" s="10"/>
      <c r="L118" s="10"/>
      <c r="M118" s="51"/>
    </row>
    <row r="119" spans="1:13" x14ac:dyDescent="0.2">
      <c r="A119"/>
      <c r="B119"/>
      <c r="C119"/>
      <c r="D119"/>
      <c r="E119" s="7"/>
      <c r="F119"/>
      <c r="G119"/>
      <c r="H119" s="10"/>
      <c r="I119" s="10"/>
      <c r="J119" s="10"/>
      <c r="K119" s="10"/>
      <c r="L119" s="10"/>
      <c r="M119" s="51"/>
    </row>
    <row r="120" spans="1:13" x14ac:dyDescent="0.2">
      <c r="A120"/>
      <c r="B120"/>
      <c r="C120"/>
      <c r="D120"/>
      <c r="E120" s="7"/>
      <c r="F120"/>
      <c r="G120"/>
      <c r="H120" s="10"/>
      <c r="I120" s="10"/>
      <c r="J120" s="10"/>
      <c r="K120" s="10"/>
      <c r="L120" s="10"/>
      <c r="M120" s="51"/>
    </row>
    <row r="121" spans="1:13" x14ac:dyDescent="0.2">
      <c r="A121"/>
      <c r="B121"/>
      <c r="C121"/>
      <c r="D121"/>
      <c r="E121" s="7"/>
      <c r="F121"/>
      <c r="G121"/>
      <c r="H121" s="10"/>
      <c r="I121" s="10"/>
      <c r="J121" s="10"/>
      <c r="K121" s="10"/>
      <c r="L121" s="10"/>
      <c r="M121" s="51"/>
    </row>
    <row r="122" spans="1:13" x14ac:dyDescent="0.2">
      <c r="A122"/>
      <c r="B122"/>
      <c r="C122"/>
      <c r="D122"/>
      <c r="E122" s="7"/>
      <c r="F122"/>
      <c r="G122"/>
      <c r="H122" s="10"/>
      <c r="I122" s="10"/>
      <c r="J122" s="10"/>
      <c r="K122" s="10"/>
      <c r="L122" s="10"/>
      <c r="M122" s="51"/>
    </row>
    <row r="123" spans="1:13" x14ac:dyDescent="0.2">
      <c r="A123"/>
      <c r="B123"/>
      <c r="C123"/>
      <c r="D123"/>
      <c r="E123" s="7"/>
      <c r="F123"/>
      <c r="G123"/>
      <c r="H123" s="10"/>
      <c r="I123" s="10"/>
      <c r="J123" s="10"/>
      <c r="K123" s="10"/>
      <c r="L123" s="10"/>
      <c r="M123" s="51"/>
    </row>
    <row r="124" spans="1:13" x14ac:dyDescent="0.2">
      <c r="A124"/>
      <c r="B124"/>
      <c r="C124"/>
      <c r="D124"/>
      <c r="E124" s="7"/>
      <c r="F124"/>
      <c r="G124"/>
      <c r="H124" s="10"/>
      <c r="I124" s="10"/>
      <c r="J124" s="10"/>
      <c r="K124" s="10"/>
      <c r="L124" s="10"/>
      <c r="M124" s="51"/>
    </row>
    <row r="125" spans="1:13" x14ac:dyDescent="0.2">
      <c r="A125"/>
      <c r="B125"/>
      <c r="C125"/>
      <c r="D125"/>
      <c r="E125" s="7"/>
      <c r="F125"/>
      <c r="G125"/>
      <c r="H125" s="10"/>
      <c r="I125" s="10"/>
      <c r="J125" s="10"/>
      <c r="K125" s="10"/>
      <c r="L125" s="10"/>
      <c r="M125" s="51"/>
    </row>
    <row r="126" spans="1:13" x14ac:dyDescent="0.2">
      <c r="A126"/>
      <c r="B126"/>
      <c r="C126"/>
      <c r="D126"/>
      <c r="E126" s="7"/>
      <c r="F126"/>
      <c r="G126"/>
      <c r="H126" s="10"/>
      <c r="I126" s="10"/>
      <c r="J126" s="10"/>
      <c r="K126" s="10"/>
      <c r="L126" s="10"/>
      <c r="M126" s="51"/>
    </row>
    <row r="127" spans="1:13" x14ac:dyDescent="0.2">
      <c r="A127"/>
      <c r="B127"/>
      <c r="C127"/>
      <c r="D127"/>
      <c r="E127" s="7"/>
      <c r="F127"/>
      <c r="G127"/>
      <c r="H127" s="10"/>
      <c r="I127" s="10"/>
      <c r="J127" s="10"/>
      <c r="K127" s="10"/>
      <c r="L127" s="10"/>
      <c r="M127" s="51"/>
    </row>
    <row r="128" spans="1:13" x14ac:dyDescent="0.2">
      <c r="A128"/>
      <c r="B128"/>
      <c r="C128"/>
      <c r="D128"/>
      <c r="E128" s="7"/>
      <c r="F128"/>
      <c r="G128"/>
      <c r="H128" s="10"/>
      <c r="I128" s="10"/>
      <c r="J128" s="10"/>
      <c r="K128" s="10"/>
      <c r="L128" s="10"/>
      <c r="M128" s="51"/>
    </row>
    <row r="129" spans="1:13" x14ac:dyDescent="0.2">
      <c r="A129"/>
      <c r="B129"/>
      <c r="C129"/>
      <c r="D129"/>
      <c r="E129" s="7"/>
      <c r="F129"/>
      <c r="G129"/>
      <c r="H129" s="10"/>
      <c r="I129" s="10"/>
      <c r="J129" s="10"/>
      <c r="K129" s="10"/>
      <c r="L129" s="10"/>
      <c r="M129" s="51"/>
    </row>
    <row r="130" spans="1:13" x14ac:dyDescent="0.2">
      <c r="A130"/>
      <c r="B130"/>
      <c r="C130"/>
      <c r="D130"/>
      <c r="E130" s="7"/>
      <c r="F130"/>
      <c r="G130"/>
      <c r="H130" s="10"/>
      <c r="I130" s="10"/>
      <c r="J130" s="10"/>
      <c r="K130" s="10"/>
      <c r="L130" s="10"/>
      <c r="M130" s="51"/>
    </row>
    <row r="131" spans="1:13" x14ac:dyDescent="0.2">
      <c r="A131"/>
      <c r="B131"/>
      <c r="C131"/>
      <c r="D131"/>
      <c r="E131" s="7"/>
      <c r="F131"/>
      <c r="G131"/>
      <c r="H131" s="10"/>
      <c r="I131" s="10"/>
      <c r="J131" s="10"/>
      <c r="K131" s="10"/>
      <c r="L131" s="10"/>
      <c r="M131" s="51"/>
    </row>
    <row r="132" spans="1:13" x14ac:dyDescent="0.2">
      <c r="A132"/>
      <c r="B132"/>
      <c r="C132"/>
      <c r="D132"/>
      <c r="E132" s="7"/>
      <c r="F132"/>
      <c r="G132"/>
      <c r="H132" s="10"/>
      <c r="I132" s="10"/>
      <c r="J132" s="10"/>
      <c r="K132" s="10"/>
      <c r="L132" s="10"/>
      <c r="M132" s="51"/>
    </row>
    <row r="133" spans="1:13" x14ac:dyDescent="0.2">
      <c r="A133"/>
      <c r="B133"/>
      <c r="C133"/>
      <c r="D133"/>
      <c r="E133" s="7"/>
      <c r="F133"/>
      <c r="G133"/>
      <c r="H133" s="10"/>
      <c r="I133" s="10"/>
      <c r="J133" s="10"/>
      <c r="K133" s="10"/>
      <c r="L133" s="10"/>
      <c r="M133" s="51"/>
    </row>
    <row r="134" spans="1:13" x14ac:dyDescent="0.2">
      <c r="A134"/>
      <c r="B134"/>
      <c r="C134"/>
      <c r="D134"/>
      <c r="E134" s="7"/>
      <c r="F134"/>
      <c r="G134"/>
      <c r="H134" s="10"/>
      <c r="I134" s="10"/>
      <c r="J134" s="10"/>
      <c r="K134" s="10"/>
      <c r="L134" s="10"/>
      <c r="M134" s="51"/>
    </row>
    <row r="135" spans="1:13" x14ac:dyDescent="0.2">
      <c r="A135"/>
      <c r="B135"/>
      <c r="C135"/>
      <c r="D135"/>
      <c r="E135" s="7"/>
      <c r="F135"/>
      <c r="G135"/>
      <c r="H135" s="10"/>
      <c r="I135" s="10"/>
      <c r="J135" s="10"/>
      <c r="K135" s="10"/>
      <c r="L135" s="10"/>
      <c r="M135" s="51"/>
    </row>
    <row r="136" spans="1:13" x14ac:dyDescent="0.2">
      <c r="A136"/>
      <c r="B136"/>
      <c r="C136"/>
      <c r="D136"/>
      <c r="E136" s="7"/>
      <c r="F136"/>
      <c r="G136"/>
      <c r="H136" s="10"/>
      <c r="I136" s="10"/>
      <c r="J136" s="10"/>
      <c r="K136" s="10"/>
      <c r="L136" s="10"/>
      <c r="M136" s="51"/>
    </row>
    <row r="137" spans="1:13" x14ac:dyDescent="0.2">
      <c r="A137"/>
      <c r="B137"/>
      <c r="C137"/>
      <c r="D137"/>
      <c r="E137" s="7"/>
      <c r="F137"/>
      <c r="G137"/>
      <c r="H137" s="10"/>
      <c r="I137" s="10"/>
      <c r="J137" s="10"/>
      <c r="K137" s="10"/>
      <c r="L137" s="10"/>
      <c r="M137" s="51"/>
    </row>
    <row r="138" spans="1:13" x14ac:dyDescent="0.2">
      <c r="A138"/>
      <c r="B138"/>
      <c r="C138"/>
      <c r="D138"/>
      <c r="E138" s="7"/>
      <c r="F138"/>
      <c r="G138"/>
      <c r="H138" s="10"/>
      <c r="I138" s="10"/>
      <c r="J138" s="10"/>
      <c r="K138" s="10"/>
      <c r="L138" s="10"/>
      <c r="M138" s="51"/>
    </row>
    <row r="139" spans="1:13" x14ac:dyDescent="0.2">
      <c r="A139"/>
      <c r="B139"/>
      <c r="C139"/>
      <c r="D139"/>
      <c r="E139" s="7"/>
      <c r="F139"/>
      <c r="G139"/>
      <c r="H139" s="10"/>
      <c r="I139" s="10"/>
      <c r="J139" s="10"/>
      <c r="K139" s="10"/>
      <c r="L139" s="10"/>
      <c r="M139" s="51"/>
    </row>
    <row r="140" spans="1:13" x14ac:dyDescent="0.2">
      <c r="A140"/>
      <c r="B140"/>
      <c r="C140"/>
      <c r="D140"/>
      <c r="E140" s="7"/>
      <c r="F140"/>
      <c r="G140"/>
      <c r="H140" s="10"/>
      <c r="I140" s="10"/>
      <c r="J140" s="10"/>
      <c r="K140" s="10"/>
      <c r="L140" s="10"/>
      <c r="M140" s="51"/>
    </row>
    <row r="141" spans="1:13" x14ac:dyDescent="0.2">
      <c r="A141"/>
      <c r="B141"/>
      <c r="C141"/>
      <c r="D141"/>
      <c r="E141" s="7"/>
      <c r="F141"/>
      <c r="G141"/>
      <c r="H141" s="10"/>
      <c r="I141" s="10"/>
      <c r="J141" s="10"/>
      <c r="K141" s="10"/>
      <c r="L141" s="10"/>
      <c r="M141" s="51"/>
    </row>
    <row r="142" spans="1:13" x14ac:dyDescent="0.2">
      <c r="A142"/>
      <c r="B142"/>
      <c r="C142"/>
      <c r="D142"/>
      <c r="E142" s="7"/>
      <c r="F142"/>
      <c r="G142"/>
      <c r="H142" s="10"/>
      <c r="I142" s="10"/>
      <c r="J142" s="10"/>
      <c r="K142" s="10"/>
      <c r="L142" s="10"/>
      <c r="M142" s="51"/>
    </row>
    <row r="143" spans="1:13" x14ac:dyDescent="0.2">
      <c r="A143"/>
      <c r="B143"/>
      <c r="C143"/>
      <c r="D143"/>
      <c r="E143" s="7"/>
      <c r="F143"/>
      <c r="G143"/>
      <c r="H143" s="10"/>
      <c r="I143" s="10"/>
      <c r="J143" s="10"/>
      <c r="K143" s="10"/>
      <c r="L143" s="10"/>
      <c r="M143" s="51"/>
    </row>
    <row r="144" spans="1:13" x14ac:dyDescent="0.2">
      <c r="A144"/>
      <c r="B144"/>
      <c r="C144"/>
      <c r="D144"/>
      <c r="E144" s="7"/>
      <c r="F144"/>
      <c r="G144"/>
      <c r="H144" s="10"/>
      <c r="I144" s="10"/>
      <c r="J144" s="10"/>
      <c r="K144" s="10"/>
      <c r="L144" s="10"/>
      <c r="M144" s="51"/>
    </row>
    <row r="145" spans="1:13" x14ac:dyDescent="0.2">
      <c r="A145"/>
      <c r="B145"/>
      <c r="C145"/>
      <c r="D145"/>
      <c r="E145" s="7"/>
      <c r="F145"/>
      <c r="G145"/>
      <c r="H145" s="10"/>
      <c r="I145" s="10"/>
      <c r="J145" s="10"/>
      <c r="K145" s="10"/>
      <c r="L145" s="10"/>
      <c r="M145" s="51"/>
    </row>
    <row r="146" spans="1:13" x14ac:dyDescent="0.2">
      <c r="A146"/>
      <c r="B146"/>
      <c r="C146"/>
      <c r="D146"/>
      <c r="E146" s="7"/>
      <c r="F146"/>
      <c r="G146"/>
      <c r="H146" s="10"/>
      <c r="I146" s="10"/>
      <c r="J146" s="10"/>
      <c r="K146" s="10"/>
      <c r="L146" s="10"/>
      <c r="M146" s="51"/>
    </row>
    <row r="147" spans="1:13" x14ac:dyDescent="0.2">
      <c r="A147"/>
      <c r="B147"/>
      <c r="C147"/>
      <c r="D147"/>
      <c r="E147" s="7"/>
      <c r="F147"/>
      <c r="G147"/>
      <c r="H147" s="10"/>
      <c r="I147" s="10"/>
      <c r="J147" s="10"/>
      <c r="K147" s="10"/>
      <c r="L147" s="10"/>
      <c r="M147" s="51"/>
    </row>
    <row r="148" spans="1:13" x14ac:dyDescent="0.2">
      <c r="A148"/>
      <c r="B148"/>
      <c r="C148"/>
      <c r="D148"/>
      <c r="E148" s="7"/>
      <c r="F148"/>
      <c r="G148"/>
      <c r="H148" s="10"/>
      <c r="I148" s="10"/>
      <c r="J148" s="10"/>
      <c r="K148" s="10"/>
      <c r="L148" s="10"/>
      <c r="M148" s="51"/>
    </row>
    <row r="149" spans="1:13" x14ac:dyDescent="0.2">
      <c r="A149"/>
      <c r="B149"/>
      <c r="C149"/>
      <c r="D149"/>
      <c r="E149" s="7"/>
      <c r="F149"/>
      <c r="G149"/>
      <c r="H149" s="10"/>
      <c r="I149" s="10"/>
      <c r="J149" s="10"/>
      <c r="K149" s="10"/>
      <c r="L149" s="10"/>
      <c r="M149" s="51"/>
    </row>
    <row r="150" spans="1:13" x14ac:dyDescent="0.2">
      <c r="A150"/>
      <c r="B150"/>
      <c r="C150"/>
      <c r="D150"/>
      <c r="E150" s="7"/>
      <c r="F150"/>
      <c r="G150"/>
      <c r="H150" s="10"/>
      <c r="I150" s="10"/>
      <c r="J150" s="10"/>
      <c r="K150" s="10"/>
      <c r="L150" s="10"/>
      <c r="M150" s="51"/>
    </row>
    <row r="151" spans="1:13" x14ac:dyDescent="0.2">
      <c r="A151"/>
      <c r="B151"/>
      <c r="C151"/>
      <c r="D151"/>
      <c r="E151" s="7"/>
      <c r="F151"/>
      <c r="G151"/>
      <c r="H151" s="10"/>
      <c r="I151" s="10"/>
      <c r="J151" s="10"/>
      <c r="K151" s="10"/>
      <c r="L151" s="10"/>
      <c r="M151" s="51"/>
    </row>
    <row r="152" spans="1:13" x14ac:dyDescent="0.2">
      <c r="A152"/>
      <c r="B152"/>
      <c r="C152"/>
      <c r="D152"/>
      <c r="E152" s="7"/>
      <c r="F152"/>
      <c r="G152"/>
      <c r="H152" s="10"/>
      <c r="I152" s="10"/>
      <c r="J152" s="10"/>
      <c r="K152" s="10"/>
      <c r="L152" s="10"/>
      <c r="M152" s="51"/>
    </row>
    <row r="153" spans="1:13" x14ac:dyDescent="0.2">
      <c r="A153"/>
      <c r="B153"/>
      <c r="C153"/>
      <c r="D153"/>
      <c r="E153" s="7"/>
      <c r="F153"/>
      <c r="G153"/>
      <c r="H153" s="10"/>
      <c r="I153" s="10"/>
      <c r="J153" s="10"/>
      <c r="K153" s="10"/>
      <c r="L153" s="10"/>
      <c r="M153" s="51"/>
    </row>
    <row r="154" spans="1:13" x14ac:dyDescent="0.2">
      <c r="A154"/>
      <c r="B154"/>
      <c r="C154"/>
      <c r="D154"/>
      <c r="E154" s="7"/>
      <c r="F154"/>
      <c r="G154"/>
      <c r="H154" s="10"/>
      <c r="I154" s="10"/>
      <c r="J154" s="10"/>
      <c r="K154" s="10"/>
      <c r="L154" s="10"/>
      <c r="M154" s="51"/>
    </row>
    <row r="155" spans="1:13" x14ac:dyDescent="0.2">
      <c r="A155"/>
      <c r="B155"/>
      <c r="C155"/>
      <c r="D155"/>
      <c r="E155" s="7"/>
      <c r="F155"/>
      <c r="G155"/>
      <c r="H155" s="10"/>
      <c r="I155" s="10"/>
      <c r="J155" s="10"/>
      <c r="K155" s="10"/>
      <c r="L155" s="10"/>
      <c r="M155" s="51"/>
    </row>
    <row r="156" spans="1:13" x14ac:dyDescent="0.2">
      <c r="A156"/>
      <c r="B156"/>
      <c r="C156"/>
      <c r="D156"/>
      <c r="E156" s="7"/>
      <c r="F156"/>
      <c r="G156"/>
      <c r="H156" s="10"/>
      <c r="I156" s="10"/>
      <c r="J156" s="10"/>
      <c r="K156" s="10"/>
      <c r="L156" s="10"/>
      <c r="M156" s="51"/>
    </row>
    <row r="157" spans="1:13" x14ac:dyDescent="0.2">
      <c r="A157"/>
      <c r="B157"/>
      <c r="C157"/>
      <c r="D157"/>
      <c r="E157" s="7"/>
      <c r="F157"/>
      <c r="G157"/>
      <c r="H157" s="10"/>
      <c r="I157" s="10"/>
      <c r="J157" s="10"/>
      <c r="K157" s="10"/>
      <c r="L157" s="10"/>
      <c r="M157" s="51"/>
    </row>
    <row r="158" spans="1:13" x14ac:dyDescent="0.2">
      <c r="A158"/>
      <c r="B158"/>
      <c r="C158"/>
      <c r="D158"/>
      <c r="E158" s="7"/>
      <c r="F158"/>
      <c r="G158"/>
      <c r="H158" s="10"/>
      <c r="I158" s="10"/>
      <c r="J158" s="10"/>
      <c r="K158" s="10"/>
      <c r="L158" s="10"/>
      <c r="M158" s="51"/>
    </row>
    <row r="159" spans="1:13" x14ac:dyDescent="0.2">
      <c r="A159"/>
      <c r="B159"/>
      <c r="C159"/>
      <c r="D159"/>
      <c r="E159" s="7"/>
      <c r="F159"/>
      <c r="G159"/>
      <c r="H159" s="10"/>
      <c r="I159" s="10"/>
      <c r="J159" s="10"/>
      <c r="K159" s="10"/>
      <c r="L159" s="10"/>
      <c r="M159" s="51"/>
    </row>
    <row r="160" spans="1:13" x14ac:dyDescent="0.2">
      <c r="A160"/>
      <c r="B160"/>
      <c r="C160"/>
      <c r="D160"/>
      <c r="E160" s="7"/>
      <c r="F160"/>
      <c r="G160"/>
      <c r="H160" s="10"/>
      <c r="I160" s="10"/>
      <c r="J160" s="10"/>
      <c r="K160" s="10"/>
      <c r="L160" s="10"/>
      <c r="M160" s="51"/>
    </row>
    <row r="161" spans="1:13" x14ac:dyDescent="0.2">
      <c r="A161"/>
      <c r="B161"/>
      <c r="C161"/>
      <c r="D161"/>
      <c r="E161" s="7"/>
      <c r="F161"/>
      <c r="G161"/>
      <c r="H161" s="10"/>
      <c r="I161" s="10"/>
      <c r="J161" s="10"/>
      <c r="K161" s="10"/>
      <c r="L161" s="10"/>
      <c r="M161" s="51"/>
    </row>
    <row r="162" spans="1:13" x14ac:dyDescent="0.2">
      <c r="A162"/>
      <c r="B162"/>
      <c r="C162"/>
      <c r="D162"/>
      <c r="E162" s="7"/>
      <c r="F162"/>
      <c r="G162"/>
      <c r="H162" s="10"/>
      <c r="I162" s="10"/>
      <c r="J162" s="10"/>
      <c r="K162" s="10"/>
      <c r="L162" s="10"/>
      <c r="M162" s="51"/>
    </row>
    <row r="163" spans="1:13" x14ac:dyDescent="0.2">
      <c r="A163"/>
      <c r="B163"/>
      <c r="C163"/>
      <c r="D163"/>
      <c r="E163" s="7"/>
      <c r="F163"/>
      <c r="G163"/>
      <c r="H163" s="10"/>
      <c r="I163" s="10"/>
      <c r="J163" s="10"/>
      <c r="K163" s="10"/>
      <c r="L163" s="10"/>
      <c r="M163" s="51"/>
    </row>
    <row r="164" spans="1:13" x14ac:dyDescent="0.2">
      <c r="A164"/>
      <c r="B164"/>
      <c r="C164"/>
      <c r="D164"/>
      <c r="E164" s="7"/>
      <c r="F164"/>
      <c r="G164"/>
      <c r="H164" s="10"/>
      <c r="I164" s="10"/>
      <c r="J164" s="10"/>
      <c r="K164" s="10"/>
      <c r="L164" s="10"/>
      <c r="M164" s="51"/>
    </row>
    <row r="165" spans="1:13" x14ac:dyDescent="0.2">
      <c r="A165"/>
      <c r="B165"/>
      <c r="C165"/>
      <c r="D165"/>
      <c r="E165" s="7"/>
      <c r="F165"/>
      <c r="G165"/>
      <c r="H165" s="10"/>
      <c r="I165" s="10"/>
      <c r="J165" s="10"/>
      <c r="K165" s="10"/>
      <c r="L165" s="10"/>
      <c r="M165" s="51"/>
    </row>
    <row r="166" spans="1:13" x14ac:dyDescent="0.2">
      <c r="A166"/>
      <c r="B166"/>
      <c r="C166"/>
      <c r="D166"/>
      <c r="E166" s="7"/>
      <c r="F166"/>
      <c r="G166"/>
      <c r="H166" s="10"/>
      <c r="I166" s="10"/>
      <c r="J166" s="10"/>
      <c r="K166" s="10"/>
      <c r="L166" s="10"/>
      <c r="M166" s="51"/>
    </row>
    <row r="167" spans="1:13" x14ac:dyDescent="0.2">
      <c r="A167"/>
      <c r="B167"/>
      <c r="C167"/>
      <c r="D167"/>
      <c r="E167" s="7"/>
      <c r="F167"/>
      <c r="G167"/>
      <c r="H167" s="10"/>
      <c r="I167" s="10"/>
      <c r="J167" s="10"/>
      <c r="K167" s="10"/>
      <c r="L167" s="10"/>
      <c r="M167" s="51"/>
    </row>
    <row r="168" spans="1:13" x14ac:dyDescent="0.2">
      <c r="A168"/>
      <c r="B168"/>
      <c r="C168"/>
      <c r="D168"/>
      <c r="E168" s="7"/>
      <c r="F168"/>
      <c r="G168"/>
      <c r="H168" s="10"/>
      <c r="I168" s="10"/>
      <c r="J168" s="10"/>
      <c r="K168" s="10"/>
      <c r="L168" s="10"/>
      <c r="M168" s="51"/>
    </row>
    <row r="169" spans="1:13" x14ac:dyDescent="0.2">
      <c r="A169"/>
      <c r="B169"/>
      <c r="C169"/>
      <c r="D169"/>
      <c r="E169" s="7"/>
      <c r="F169"/>
      <c r="G169"/>
      <c r="H169" s="10"/>
      <c r="I169" s="10"/>
      <c r="J169" s="10"/>
      <c r="K169" s="10"/>
      <c r="L169" s="10"/>
      <c r="M169" s="51"/>
    </row>
    <row r="170" spans="1:13" x14ac:dyDescent="0.2">
      <c r="A170"/>
      <c r="B170"/>
      <c r="C170"/>
      <c r="D170"/>
      <c r="E170" s="7"/>
      <c r="F170"/>
      <c r="G170"/>
      <c r="H170" s="10"/>
      <c r="I170" s="10"/>
      <c r="J170" s="10"/>
      <c r="K170" s="10"/>
      <c r="L170" s="10"/>
      <c r="M170" s="51"/>
    </row>
    <row r="171" spans="1:13" x14ac:dyDescent="0.2">
      <c r="A171"/>
      <c r="B171"/>
      <c r="C171"/>
      <c r="D171"/>
      <c r="E171" s="7"/>
      <c r="F171"/>
      <c r="G171"/>
      <c r="H171" s="10"/>
      <c r="I171" s="10"/>
      <c r="J171" s="10"/>
      <c r="K171" s="10"/>
      <c r="L171" s="10"/>
      <c r="M171" s="51"/>
    </row>
    <row r="172" spans="1:13" x14ac:dyDescent="0.2">
      <c r="A172"/>
      <c r="B172"/>
      <c r="C172"/>
      <c r="D172"/>
      <c r="E172" s="7"/>
      <c r="F172"/>
      <c r="G172"/>
      <c r="H172" s="10"/>
      <c r="I172" s="10"/>
      <c r="J172" s="10"/>
      <c r="K172" s="10"/>
      <c r="L172" s="10"/>
      <c r="M172" s="51"/>
    </row>
    <row r="173" spans="1:13" x14ac:dyDescent="0.2">
      <c r="A173"/>
      <c r="B173"/>
      <c r="C173"/>
      <c r="D173"/>
      <c r="E173" s="7"/>
      <c r="F173"/>
      <c r="G173"/>
      <c r="H173" s="10"/>
      <c r="I173" s="10"/>
      <c r="J173" s="10"/>
      <c r="K173" s="10"/>
      <c r="L173" s="10"/>
      <c r="M173" s="51"/>
    </row>
    <row r="174" spans="1:13" x14ac:dyDescent="0.2">
      <c r="A174"/>
      <c r="B174"/>
      <c r="C174"/>
      <c r="D174"/>
      <c r="E174" s="7"/>
      <c r="F174"/>
      <c r="G174"/>
      <c r="H174" s="10"/>
      <c r="I174" s="10"/>
      <c r="J174" s="10"/>
      <c r="K174" s="10"/>
      <c r="L174" s="10"/>
      <c r="M174" s="51"/>
    </row>
    <row r="175" spans="1:13" x14ac:dyDescent="0.2">
      <c r="A175"/>
      <c r="B175"/>
      <c r="C175"/>
      <c r="D175"/>
      <c r="E175" s="7"/>
      <c r="F175"/>
      <c r="G175"/>
      <c r="H175" s="10"/>
      <c r="I175" s="10"/>
      <c r="J175" s="10"/>
      <c r="K175" s="10"/>
      <c r="L175" s="10"/>
      <c r="M175" s="51"/>
    </row>
    <row r="176" spans="1:13" x14ac:dyDescent="0.2">
      <c r="A176"/>
      <c r="B176"/>
      <c r="C176"/>
      <c r="D176"/>
      <c r="E176" s="7"/>
      <c r="F176"/>
      <c r="G176"/>
      <c r="H176" s="10"/>
      <c r="I176" s="10"/>
      <c r="J176" s="10"/>
      <c r="K176" s="10"/>
      <c r="L176" s="10"/>
      <c r="M176" s="51"/>
    </row>
    <row r="177" spans="1:13" x14ac:dyDescent="0.2">
      <c r="A177"/>
      <c r="B177"/>
      <c r="C177"/>
      <c r="D177"/>
      <c r="E177" s="7"/>
      <c r="F177"/>
      <c r="G177"/>
      <c r="H177" s="10"/>
      <c r="I177" s="10"/>
      <c r="J177" s="10"/>
      <c r="K177" s="10"/>
      <c r="L177" s="10"/>
      <c r="M177" s="51"/>
    </row>
    <row r="178" spans="1:13" x14ac:dyDescent="0.2">
      <c r="A178"/>
      <c r="B178"/>
      <c r="C178"/>
      <c r="D178"/>
      <c r="E178" s="7"/>
      <c r="F178"/>
      <c r="G178"/>
      <c r="H178" s="10"/>
      <c r="I178" s="10"/>
      <c r="J178" s="10"/>
      <c r="K178" s="10"/>
      <c r="L178" s="10"/>
      <c r="M178" s="51"/>
    </row>
    <row r="179" spans="1:13" x14ac:dyDescent="0.2">
      <c r="A179"/>
      <c r="B179"/>
      <c r="C179"/>
      <c r="D179"/>
      <c r="E179" s="7"/>
      <c r="F179"/>
      <c r="G179"/>
      <c r="H179" s="10"/>
      <c r="I179" s="10"/>
      <c r="J179" s="10"/>
      <c r="K179" s="10"/>
      <c r="L179" s="10"/>
      <c r="M179" s="51"/>
    </row>
    <row r="180" spans="1:13" x14ac:dyDescent="0.2">
      <c r="A180"/>
      <c r="B180"/>
      <c r="C180"/>
      <c r="D180"/>
      <c r="E180" s="7"/>
      <c r="F180"/>
      <c r="G180"/>
      <c r="H180" s="10"/>
      <c r="I180" s="10"/>
      <c r="J180" s="10"/>
      <c r="K180" s="10"/>
      <c r="L180" s="10"/>
      <c r="M180" s="51"/>
    </row>
    <row r="181" spans="1:13" x14ac:dyDescent="0.2">
      <c r="A181"/>
      <c r="B181"/>
      <c r="C181"/>
      <c r="D181"/>
      <c r="E181" s="7"/>
      <c r="F181"/>
      <c r="G181"/>
      <c r="H181" s="10"/>
      <c r="I181" s="10"/>
      <c r="J181" s="10"/>
      <c r="K181" s="10"/>
      <c r="L181" s="10"/>
      <c r="M181" s="51"/>
    </row>
    <row r="182" spans="1:13" x14ac:dyDescent="0.2">
      <c r="A182"/>
      <c r="B182"/>
      <c r="C182"/>
      <c r="D182"/>
      <c r="E182" s="7"/>
      <c r="F182"/>
      <c r="G182"/>
      <c r="H182" s="10"/>
      <c r="I182" s="10"/>
      <c r="J182" s="10"/>
      <c r="K182" s="10"/>
      <c r="L182" s="10"/>
      <c r="M182" s="51"/>
    </row>
    <row r="183" spans="1:13" x14ac:dyDescent="0.2">
      <c r="A183"/>
      <c r="B183"/>
      <c r="C183"/>
      <c r="D183"/>
      <c r="E183" s="7"/>
      <c r="F183"/>
      <c r="G183"/>
      <c r="H183" s="10"/>
      <c r="I183" s="10"/>
      <c r="J183" s="10"/>
      <c r="K183" s="10"/>
      <c r="L183" s="10"/>
      <c r="M183" s="51"/>
    </row>
    <row r="184" spans="1:13" x14ac:dyDescent="0.2">
      <c r="A184"/>
      <c r="B184"/>
      <c r="C184"/>
      <c r="D184"/>
      <c r="E184" s="7"/>
      <c r="F184"/>
      <c r="G184"/>
      <c r="H184" s="10"/>
      <c r="I184" s="10"/>
      <c r="J184" s="10"/>
      <c r="K184" s="10"/>
      <c r="L184" s="10"/>
      <c r="M184" s="51"/>
    </row>
    <row r="185" spans="1:13" x14ac:dyDescent="0.2">
      <c r="A185"/>
      <c r="B185"/>
      <c r="C185"/>
      <c r="D185"/>
      <c r="E185" s="7"/>
      <c r="F185"/>
      <c r="G185"/>
      <c r="H185" s="10"/>
      <c r="I185" s="10"/>
      <c r="J185" s="10"/>
      <c r="K185" s="10"/>
      <c r="L185" s="10"/>
      <c r="M185" s="51"/>
    </row>
    <row r="186" spans="1:13" x14ac:dyDescent="0.2">
      <c r="A186"/>
      <c r="B186"/>
      <c r="C186"/>
      <c r="D186"/>
      <c r="E186" s="7"/>
      <c r="F186"/>
      <c r="G186"/>
      <c r="H186" s="10"/>
      <c r="I186" s="10"/>
      <c r="J186" s="10"/>
      <c r="K186" s="10"/>
      <c r="L186" s="10"/>
      <c r="M186" s="51"/>
    </row>
    <row r="187" spans="1:13" x14ac:dyDescent="0.2">
      <c r="A187"/>
      <c r="B187"/>
      <c r="C187"/>
      <c r="D187"/>
      <c r="E187" s="7"/>
      <c r="F187"/>
      <c r="G187"/>
      <c r="H187" s="10"/>
      <c r="I187" s="10"/>
      <c r="J187" s="10"/>
      <c r="K187" s="10"/>
      <c r="L187" s="10"/>
      <c r="M187" s="51"/>
    </row>
    <row r="188" spans="1:13" x14ac:dyDescent="0.2">
      <c r="A188"/>
      <c r="B188"/>
      <c r="C188"/>
      <c r="D188"/>
      <c r="E188" s="7"/>
      <c r="F188"/>
      <c r="G188"/>
      <c r="H188" s="10"/>
      <c r="I188" s="10"/>
      <c r="J188" s="10"/>
      <c r="K188" s="10"/>
      <c r="L188" s="10"/>
      <c r="M188" s="51"/>
    </row>
    <row r="189" spans="1:13" x14ac:dyDescent="0.2">
      <c r="A189"/>
      <c r="B189"/>
      <c r="C189"/>
      <c r="D189"/>
      <c r="E189" s="7"/>
      <c r="F189"/>
      <c r="G189"/>
      <c r="H189" s="10"/>
      <c r="I189" s="10"/>
      <c r="J189" s="10"/>
      <c r="K189" s="10"/>
      <c r="L189" s="10"/>
      <c r="M189" s="51"/>
    </row>
    <row r="190" spans="1:13" x14ac:dyDescent="0.2">
      <c r="A190"/>
      <c r="B190"/>
      <c r="C190"/>
      <c r="D190"/>
      <c r="E190" s="7"/>
      <c r="F190"/>
      <c r="G190"/>
      <c r="H190" s="10"/>
      <c r="I190" s="10"/>
      <c r="J190" s="10"/>
      <c r="K190" s="10"/>
      <c r="L190" s="10"/>
      <c r="M190" s="51"/>
    </row>
    <row r="191" spans="1:13" x14ac:dyDescent="0.2">
      <c r="A191"/>
      <c r="B191"/>
      <c r="C191"/>
      <c r="D191"/>
      <c r="E191" s="7"/>
      <c r="F191"/>
      <c r="G191"/>
      <c r="H191" s="10"/>
      <c r="I191" s="10"/>
      <c r="J191" s="10"/>
      <c r="K191" s="10"/>
      <c r="L191" s="10"/>
      <c r="M191" s="51"/>
    </row>
    <row r="192" spans="1:13" x14ac:dyDescent="0.2">
      <c r="A192"/>
      <c r="B192"/>
      <c r="C192"/>
      <c r="D192"/>
      <c r="E192" s="7"/>
      <c r="F192"/>
      <c r="G192"/>
      <c r="H192" s="10"/>
      <c r="I192" s="10"/>
      <c r="J192" s="10"/>
      <c r="K192" s="10"/>
      <c r="L192" s="10"/>
      <c r="M192" s="51"/>
    </row>
    <row r="193" spans="1:13" x14ac:dyDescent="0.2">
      <c r="A193"/>
      <c r="B193"/>
      <c r="C193"/>
      <c r="D193"/>
      <c r="E193" s="7"/>
      <c r="F193"/>
      <c r="G193"/>
      <c r="H193" s="10"/>
      <c r="I193" s="10"/>
      <c r="J193" s="10"/>
      <c r="K193" s="10"/>
      <c r="L193" s="10"/>
      <c r="M193" s="51"/>
    </row>
    <row r="194" spans="1:13" x14ac:dyDescent="0.2">
      <c r="A194"/>
      <c r="B194"/>
      <c r="C194"/>
      <c r="D194"/>
      <c r="E194" s="7"/>
      <c r="F194"/>
      <c r="G194"/>
      <c r="H194" s="10"/>
      <c r="I194" s="10"/>
      <c r="J194" s="10"/>
      <c r="K194" s="10"/>
      <c r="L194" s="10"/>
      <c r="M194" s="51"/>
    </row>
    <row r="195" spans="1:13" x14ac:dyDescent="0.2">
      <c r="A195"/>
      <c r="B195"/>
      <c r="C195"/>
      <c r="D195"/>
      <c r="E195" s="7"/>
      <c r="F195"/>
      <c r="G195"/>
      <c r="H195" s="10"/>
      <c r="I195" s="10"/>
      <c r="J195" s="10"/>
      <c r="K195" s="10"/>
      <c r="L195" s="10"/>
      <c r="M195" s="51"/>
    </row>
    <row r="196" spans="1:13" x14ac:dyDescent="0.2">
      <c r="A196"/>
      <c r="B196"/>
      <c r="C196"/>
      <c r="D196"/>
      <c r="E196" s="7"/>
      <c r="F196"/>
      <c r="G196"/>
      <c r="H196" s="10"/>
      <c r="I196" s="10"/>
      <c r="J196" s="10"/>
      <c r="K196" s="10"/>
      <c r="L196" s="10"/>
      <c r="M196" s="51"/>
    </row>
    <row r="197" spans="1:13" x14ac:dyDescent="0.2">
      <c r="A197"/>
      <c r="B197"/>
      <c r="C197"/>
      <c r="D197"/>
      <c r="E197" s="7"/>
      <c r="F197"/>
      <c r="G197"/>
      <c r="H197" s="10"/>
      <c r="I197" s="10"/>
      <c r="J197" s="10"/>
      <c r="K197" s="10"/>
      <c r="L197" s="10"/>
      <c r="M197" s="51"/>
    </row>
    <row r="198" spans="1:13" x14ac:dyDescent="0.2">
      <c r="A198"/>
      <c r="B198"/>
      <c r="C198"/>
      <c r="D198"/>
      <c r="E198" s="7"/>
      <c r="F198"/>
      <c r="G198"/>
      <c r="H198" s="10"/>
      <c r="I198" s="10"/>
      <c r="J198" s="10"/>
      <c r="K198" s="10"/>
      <c r="L198" s="10"/>
      <c r="M198" s="51"/>
    </row>
    <row r="199" spans="1:13" x14ac:dyDescent="0.2">
      <c r="A199"/>
      <c r="B199"/>
      <c r="C199"/>
      <c r="D199"/>
      <c r="E199" s="7"/>
      <c r="F199"/>
      <c r="G199"/>
      <c r="H199" s="10"/>
      <c r="I199" s="10"/>
      <c r="J199" s="10"/>
      <c r="K199" s="10"/>
      <c r="L199" s="10"/>
      <c r="M199" s="51"/>
    </row>
    <row r="200" spans="1:13" x14ac:dyDescent="0.2">
      <c r="A200"/>
      <c r="B200"/>
      <c r="C200"/>
      <c r="D200"/>
      <c r="E200" s="7"/>
      <c r="F200"/>
      <c r="G200"/>
      <c r="H200" s="10"/>
      <c r="I200" s="10"/>
      <c r="J200" s="10"/>
      <c r="K200" s="10"/>
      <c r="L200" s="10"/>
      <c r="M200" s="51"/>
    </row>
    <row r="201" spans="1:13" x14ac:dyDescent="0.2">
      <c r="A201"/>
      <c r="B201"/>
      <c r="C201"/>
      <c r="D201"/>
      <c r="E201" s="7"/>
      <c r="F201"/>
      <c r="G201"/>
      <c r="H201" s="10"/>
      <c r="I201" s="10"/>
      <c r="J201" s="10"/>
      <c r="K201" s="10"/>
      <c r="L201" s="10"/>
      <c r="M201" s="51"/>
    </row>
    <row r="202" spans="1:13" x14ac:dyDescent="0.2">
      <c r="A202"/>
      <c r="B202"/>
      <c r="C202"/>
      <c r="D202"/>
      <c r="E202" s="7"/>
      <c r="F202"/>
      <c r="G202"/>
      <c r="H202" s="10"/>
      <c r="I202" s="10"/>
      <c r="J202" s="10"/>
      <c r="K202" s="10"/>
      <c r="L202" s="10"/>
      <c r="M202" s="51"/>
    </row>
    <row r="203" spans="1:13" x14ac:dyDescent="0.2">
      <c r="A203"/>
      <c r="B203"/>
      <c r="C203"/>
      <c r="D203"/>
      <c r="E203" s="7"/>
      <c r="F203"/>
      <c r="G203"/>
      <c r="H203" s="10"/>
      <c r="I203" s="10"/>
      <c r="J203" s="10"/>
      <c r="K203" s="10"/>
      <c r="L203" s="10"/>
      <c r="M203" s="51"/>
    </row>
    <row r="204" spans="1:13" x14ac:dyDescent="0.2">
      <c r="A204"/>
      <c r="B204"/>
      <c r="C204"/>
      <c r="D204"/>
      <c r="E204" s="7"/>
      <c r="F204"/>
      <c r="G204"/>
      <c r="H204" s="10"/>
      <c r="I204" s="10"/>
      <c r="J204" s="10"/>
      <c r="K204" s="10"/>
      <c r="L204" s="10"/>
      <c r="M204" s="51"/>
    </row>
    <row r="205" spans="1:13" x14ac:dyDescent="0.2">
      <c r="A205"/>
      <c r="B205"/>
      <c r="C205"/>
      <c r="D205"/>
      <c r="E205" s="7"/>
      <c r="F205"/>
      <c r="G205"/>
      <c r="H205" s="10"/>
      <c r="I205" s="10"/>
      <c r="J205" s="10"/>
      <c r="K205" s="10"/>
      <c r="L205" s="10"/>
      <c r="M205" s="51"/>
    </row>
    <row r="206" spans="1:13" x14ac:dyDescent="0.2">
      <c r="A206"/>
      <c r="B206"/>
      <c r="C206"/>
      <c r="D206"/>
      <c r="E206" s="7"/>
      <c r="F206"/>
      <c r="G206"/>
      <c r="H206" s="10"/>
      <c r="I206" s="10"/>
      <c r="J206" s="10"/>
      <c r="K206" s="10"/>
      <c r="L206" s="10"/>
      <c r="M206" s="51"/>
    </row>
    <row r="207" spans="1:13" x14ac:dyDescent="0.2">
      <c r="A207"/>
      <c r="B207"/>
      <c r="C207"/>
      <c r="D207"/>
      <c r="E207" s="7"/>
      <c r="F207"/>
      <c r="G207"/>
      <c r="H207" s="10"/>
      <c r="I207" s="10"/>
      <c r="J207" s="10"/>
      <c r="K207" s="10"/>
      <c r="L207" s="10"/>
      <c r="M207" s="51"/>
    </row>
    <row r="208" spans="1:13" x14ac:dyDescent="0.2">
      <c r="A208"/>
      <c r="B208"/>
      <c r="C208"/>
      <c r="D208"/>
      <c r="E208" s="7"/>
      <c r="F208"/>
      <c r="G208"/>
      <c r="H208" s="10"/>
      <c r="I208" s="10"/>
      <c r="J208" s="10"/>
      <c r="K208" s="10"/>
      <c r="L208" s="10"/>
      <c r="M208" s="51"/>
    </row>
    <row r="209" spans="1:13" x14ac:dyDescent="0.2">
      <c r="A209"/>
      <c r="B209"/>
      <c r="C209"/>
      <c r="D209"/>
      <c r="E209" s="7"/>
      <c r="F209"/>
      <c r="G209"/>
      <c r="H209" s="10"/>
      <c r="I209" s="10"/>
      <c r="J209" s="10"/>
      <c r="K209" s="10"/>
      <c r="L209" s="10"/>
      <c r="M209" s="51"/>
    </row>
    <row r="210" spans="1:13" x14ac:dyDescent="0.2">
      <c r="A210"/>
      <c r="B210"/>
      <c r="C210"/>
      <c r="D210"/>
      <c r="E210" s="7"/>
      <c r="F210"/>
      <c r="G210"/>
      <c r="H210" s="10"/>
      <c r="I210" s="10"/>
      <c r="J210" s="10"/>
      <c r="K210" s="10"/>
      <c r="L210" s="10"/>
      <c r="M210" s="51"/>
    </row>
    <row r="211" spans="1:13" x14ac:dyDescent="0.2">
      <c r="A211"/>
      <c r="B211"/>
      <c r="C211"/>
      <c r="D211"/>
      <c r="E211" s="7"/>
      <c r="F211"/>
      <c r="G211"/>
      <c r="H211" s="10"/>
      <c r="I211" s="10"/>
      <c r="J211" s="10"/>
      <c r="K211" s="10"/>
      <c r="L211" s="10"/>
      <c r="M211" s="51"/>
    </row>
    <row r="212" spans="1:13" x14ac:dyDescent="0.2">
      <c r="A212"/>
      <c r="B212"/>
      <c r="C212"/>
      <c r="D212"/>
      <c r="E212" s="7"/>
      <c r="F212"/>
      <c r="G212"/>
      <c r="H212" s="10"/>
      <c r="I212" s="10"/>
      <c r="J212" s="10"/>
      <c r="K212" s="10"/>
      <c r="L212" s="10"/>
      <c r="M212" s="51"/>
    </row>
    <row r="213" spans="1:13" x14ac:dyDescent="0.2">
      <c r="A213"/>
      <c r="B213"/>
      <c r="C213"/>
      <c r="D213"/>
      <c r="E213" s="7"/>
      <c r="F213"/>
      <c r="G213"/>
      <c r="H213" s="10"/>
      <c r="I213" s="10"/>
      <c r="J213" s="10"/>
      <c r="K213" s="10"/>
      <c r="L213" s="10"/>
      <c r="M213" s="51"/>
    </row>
    <row r="214" spans="1:13" x14ac:dyDescent="0.2">
      <c r="A214"/>
      <c r="B214"/>
      <c r="C214"/>
      <c r="D214"/>
      <c r="E214" s="7"/>
      <c r="F214"/>
      <c r="G214"/>
      <c r="H214" s="10"/>
      <c r="I214" s="10"/>
      <c r="J214" s="10"/>
      <c r="K214" s="10"/>
      <c r="L214" s="10"/>
      <c r="M214" s="51"/>
    </row>
    <row r="215" spans="1:13" x14ac:dyDescent="0.2">
      <c r="A215"/>
      <c r="B215"/>
      <c r="C215"/>
      <c r="D215"/>
      <c r="E215" s="7"/>
      <c r="F215"/>
      <c r="G215"/>
      <c r="H215" s="10"/>
      <c r="I215" s="10"/>
      <c r="J215" s="10"/>
      <c r="K215" s="10"/>
      <c r="L215" s="10"/>
      <c r="M215" s="51"/>
    </row>
    <row r="216" spans="1:13" x14ac:dyDescent="0.2">
      <c r="A216"/>
      <c r="B216"/>
      <c r="C216"/>
      <c r="D216"/>
      <c r="E216" s="7"/>
      <c r="F216"/>
      <c r="G216"/>
      <c r="H216" s="10"/>
      <c r="I216" s="10"/>
      <c r="J216" s="10"/>
      <c r="K216" s="10"/>
      <c r="L216" s="10"/>
      <c r="M216" s="51"/>
    </row>
    <row r="217" spans="1:13" x14ac:dyDescent="0.2">
      <c r="A217"/>
      <c r="B217"/>
      <c r="C217"/>
      <c r="D217"/>
      <c r="E217" s="7"/>
      <c r="F217"/>
      <c r="G217"/>
      <c r="H217" s="10"/>
      <c r="I217" s="10"/>
      <c r="J217" s="10"/>
      <c r="K217" s="10"/>
      <c r="L217" s="10"/>
      <c r="M217" s="51"/>
    </row>
    <row r="218" spans="1:13" x14ac:dyDescent="0.2">
      <c r="A218"/>
      <c r="B218"/>
      <c r="C218"/>
      <c r="D218"/>
      <c r="E218" s="7"/>
      <c r="F218"/>
      <c r="G218"/>
      <c r="H218" s="10"/>
      <c r="I218" s="10"/>
      <c r="J218" s="10"/>
      <c r="K218" s="10"/>
      <c r="L218" s="10"/>
      <c r="M218" s="51"/>
    </row>
    <row r="219" spans="1:13" x14ac:dyDescent="0.2">
      <c r="A219"/>
      <c r="B219"/>
      <c r="C219"/>
      <c r="D219"/>
      <c r="E219" s="7"/>
      <c r="F219"/>
      <c r="G219"/>
      <c r="H219" s="10"/>
      <c r="I219" s="10"/>
      <c r="J219" s="10"/>
      <c r="K219" s="10"/>
      <c r="L219" s="10"/>
      <c r="M219" s="51"/>
    </row>
    <row r="220" spans="1:13" x14ac:dyDescent="0.2">
      <c r="A220"/>
      <c r="B220"/>
      <c r="C220"/>
      <c r="D220"/>
      <c r="E220" s="7"/>
      <c r="F220"/>
      <c r="G220"/>
      <c r="H220" s="10"/>
      <c r="I220" s="10"/>
      <c r="J220" s="10"/>
      <c r="K220" s="10"/>
      <c r="L220" s="10"/>
      <c r="M220" s="51"/>
    </row>
    <row r="221" spans="1:13" x14ac:dyDescent="0.2">
      <c r="A221"/>
      <c r="B221"/>
      <c r="C221"/>
      <c r="D221"/>
      <c r="E221" s="7"/>
      <c r="F221"/>
      <c r="G221"/>
      <c r="H221" s="10"/>
      <c r="I221" s="10"/>
      <c r="J221" s="10"/>
      <c r="K221" s="10"/>
      <c r="L221" s="10"/>
      <c r="M221" s="51"/>
    </row>
    <row r="222" spans="1:13" x14ac:dyDescent="0.2">
      <c r="A222"/>
      <c r="B222"/>
      <c r="C222"/>
      <c r="D222"/>
      <c r="E222" s="7"/>
      <c r="F222"/>
      <c r="G222"/>
      <c r="H222" s="10"/>
      <c r="I222" s="10"/>
      <c r="J222" s="10"/>
      <c r="K222" s="10"/>
      <c r="L222" s="10"/>
      <c r="M222" s="51"/>
    </row>
    <row r="223" spans="1:13" x14ac:dyDescent="0.2">
      <c r="A223"/>
      <c r="B223"/>
      <c r="C223"/>
      <c r="D223"/>
      <c r="E223" s="7"/>
      <c r="F223"/>
      <c r="G223"/>
      <c r="H223" s="10"/>
      <c r="I223" s="10"/>
      <c r="J223" s="10"/>
      <c r="K223" s="10"/>
      <c r="L223" s="10"/>
      <c r="M223" s="51"/>
    </row>
    <row r="224" spans="1:13" x14ac:dyDescent="0.2">
      <c r="A224"/>
      <c r="B224"/>
      <c r="C224"/>
      <c r="D224"/>
      <c r="E224" s="7"/>
      <c r="F224"/>
      <c r="G224"/>
      <c r="H224" s="10"/>
      <c r="I224" s="10"/>
      <c r="J224" s="10"/>
      <c r="K224" s="10"/>
      <c r="L224" s="10"/>
      <c r="M224" s="51"/>
    </row>
    <row r="225" spans="1:13" x14ac:dyDescent="0.2">
      <c r="A225"/>
      <c r="B225"/>
      <c r="C225"/>
      <c r="D225"/>
      <c r="E225" s="7"/>
      <c r="F225"/>
      <c r="G225"/>
      <c r="H225" s="10"/>
      <c r="I225" s="10"/>
      <c r="J225" s="10"/>
      <c r="K225" s="10"/>
      <c r="L225" s="10"/>
      <c r="M225" s="51"/>
    </row>
    <row r="226" spans="1:13" x14ac:dyDescent="0.2">
      <c r="A226"/>
      <c r="B226"/>
      <c r="C226"/>
      <c r="D226"/>
      <c r="E226" s="7"/>
      <c r="F226"/>
      <c r="G226"/>
      <c r="H226" s="10"/>
      <c r="I226" s="10"/>
      <c r="J226" s="10"/>
      <c r="K226" s="10"/>
      <c r="L226" s="10"/>
      <c r="M226" s="51"/>
    </row>
    <row r="227" spans="1:13" x14ac:dyDescent="0.2">
      <c r="A227"/>
      <c r="B227"/>
      <c r="C227"/>
      <c r="D227"/>
      <c r="E227" s="7"/>
      <c r="F227"/>
      <c r="G227"/>
      <c r="H227" s="10"/>
      <c r="I227" s="10"/>
      <c r="J227" s="10"/>
      <c r="K227" s="10"/>
      <c r="L227" s="10"/>
      <c r="M227" s="51"/>
    </row>
    <row r="228" spans="1:13" x14ac:dyDescent="0.2">
      <c r="A228"/>
      <c r="B228"/>
      <c r="C228"/>
      <c r="D228"/>
      <c r="E228" s="7"/>
      <c r="F228"/>
      <c r="G228"/>
      <c r="H228" s="10"/>
      <c r="I228" s="10"/>
      <c r="J228" s="10"/>
      <c r="K228" s="10"/>
      <c r="L228" s="10"/>
      <c r="M228" s="51"/>
    </row>
    <row r="229" spans="1:13" x14ac:dyDescent="0.2">
      <c r="A229"/>
      <c r="B229"/>
      <c r="C229"/>
      <c r="D229"/>
      <c r="E229" s="7"/>
      <c r="F229"/>
      <c r="G229"/>
      <c r="H229" s="10"/>
      <c r="I229" s="10"/>
      <c r="J229" s="10"/>
      <c r="K229" s="10"/>
      <c r="L229" s="10"/>
      <c r="M229" s="51"/>
    </row>
    <row r="230" spans="1:13" x14ac:dyDescent="0.2">
      <c r="A230"/>
      <c r="B230"/>
      <c r="C230"/>
      <c r="D230"/>
      <c r="E230" s="7"/>
      <c r="F230"/>
      <c r="G230"/>
      <c r="H230" s="10"/>
      <c r="I230" s="10"/>
      <c r="J230" s="10"/>
      <c r="K230" s="10"/>
      <c r="L230" s="10"/>
      <c r="M230" s="51"/>
    </row>
    <row r="231" spans="1:13" x14ac:dyDescent="0.2">
      <c r="A231"/>
      <c r="B231"/>
      <c r="C231"/>
      <c r="D231"/>
      <c r="E231" s="7"/>
      <c r="F231"/>
      <c r="G231"/>
      <c r="H231" s="10"/>
      <c r="I231" s="10"/>
      <c r="J231" s="10"/>
      <c r="K231" s="10"/>
      <c r="L231" s="10"/>
      <c r="M231" s="51"/>
    </row>
    <row r="232" spans="1:13" x14ac:dyDescent="0.2">
      <c r="A232"/>
      <c r="B232"/>
      <c r="C232"/>
      <c r="D232"/>
      <c r="E232" s="7"/>
      <c r="F232"/>
      <c r="G232"/>
      <c r="H232" s="10"/>
      <c r="I232" s="10"/>
      <c r="J232" s="10"/>
      <c r="K232" s="10"/>
      <c r="L232" s="10"/>
      <c r="M232" s="51"/>
    </row>
    <row r="233" spans="1:13" x14ac:dyDescent="0.2">
      <c r="A233"/>
      <c r="B233"/>
      <c r="C233"/>
      <c r="D233"/>
      <c r="E233" s="7"/>
      <c r="F233"/>
      <c r="G233"/>
      <c r="H233" s="10"/>
      <c r="I233" s="10"/>
      <c r="J233" s="10"/>
      <c r="K233" s="10"/>
      <c r="L233" s="10"/>
      <c r="M233" s="51"/>
    </row>
    <row r="234" spans="1:13" x14ac:dyDescent="0.2">
      <c r="A234"/>
      <c r="B234"/>
      <c r="C234"/>
      <c r="D234"/>
      <c r="E234" s="7"/>
      <c r="F234"/>
      <c r="G234"/>
      <c r="H234" s="10"/>
      <c r="I234" s="10"/>
      <c r="J234" s="10"/>
      <c r="K234" s="10"/>
      <c r="L234" s="10"/>
      <c r="M234" s="51"/>
    </row>
    <row r="235" spans="1:13" x14ac:dyDescent="0.2">
      <c r="A235"/>
      <c r="B235"/>
      <c r="C235"/>
      <c r="D235"/>
      <c r="E235" s="7"/>
      <c r="F235"/>
      <c r="G235"/>
      <c r="H235" s="10"/>
      <c r="I235" s="10"/>
      <c r="J235" s="10"/>
      <c r="K235" s="10"/>
      <c r="L235" s="10"/>
      <c r="M235" s="51"/>
    </row>
    <row r="236" spans="1:13" x14ac:dyDescent="0.2">
      <c r="A236"/>
      <c r="B236"/>
      <c r="C236"/>
      <c r="D236"/>
      <c r="E236" s="7"/>
      <c r="F236"/>
      <c r="G236"/>
      <c r="H236" s="10"/>
      <c r="I236" s="10"/>
      <c r="J236" s="10"/>
      <c r="K236" s="10"/>
      <c r="L236" s="10"/>
      <c r="M236" s="51"/>
    </row>
    <row r="237" spans="1:13" x14ac:dyDescent="0.2">
      <c r="A237"/>
      <c r="B237"/>
      <c r="C237"/>
      <c r="D237"/>
      <c r="E237" s="7"/>
      <c r="F237"/>
      <c r="G237"/>
      <c r="H237" s="10"/>
      <c r="I237" s="10"/>
      <c r="J237" s="10"/>
      <c r="K237" s="10"/>
      <c r="L237" s="10"/>
      <c r="M237" s="51"/>
    </row>
    <row r="238" spans="1:13" x14ac:dyDescent="0.2">
      <c r="A238"/>
      <c r="B238"/>
      <c r="C238"/>
      <c r="D238"/>
      <c r="E238" s="7"/>
      <c r="F238"/>
      <c r="G238"/>
      <c r="H238" s="10"/>
      <c r="I238" s="10"/>
      <c r="J238" s="10"/>
      <c r="K238" s="10"/>
      <c r="L238" s="10"/>
      <c r="M238" s="51"/>
    </row>
    <row r="239" spans="1:13" x14ac:dyDescent="0.2">
      <c r="A239"/>
      <c r="B239"/>
      <c r="C239"/>
      <c r="D239"/>
      <c r="E239" s="7"/>
      <c r="F239"/>
      <c r="G239"/>
      <c r="H239" s="10"/>
      <c r="I239" s="10"/>
      <c r="J239" s="10"/>
      <c r="K239" s="10"/>
      <c r="L239" s="10"/>
      <c r="M239" s="51"/>
    </row>
    <row r="240" spans="1:13" x14ac:dyDescent="0.2">
      <c r="A240"/>
      <c r="B240"/>
      <c r="C240"/>
      <c r="D240"/>
      <c r="E240" s="7"/>
      <c r="F240"/>
      <c r="G240"/>
      <c r="H240" s="10"/>
      <c r="I240" s="10"/>
      <c r="J240" s="10"/>
      <c r="K240" s="10"/>
      <c r="L240" s="10"/>
      <c r="M240" s="51"/>
    </row>
    <row r="241" spans="1:13" x14ac:dyDescent="0.2">
      <c r="A241"/>
      <c r="B241"/>
      <c r="C241"/>
      <c r="D241"/>
      <c r="E241" s="7"/>
      <c r="F241"/>
      <c r="G241"/>
      <c r="H241" s="10"/>
      <c r="I241" s="10"/>
      <c r="J241" s="10"/>
      <c r="K241" s="10"/>
      <c r="L241" s="10"/>
      <c r="M241" s="51"/>
    </row>
  </sheetData>
  <autoFilter ref="A1:M241"/>
  <pageMargins left="0.75" right="0.75" top="1" bottom="1" header="0.5" footer="0.5"/>
  <pageSetup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XFC240"/>
  <sheetViews>
    <sheetView zoomScale="120" zoomScaleNormal="120" workbookViewId="0">
      <pane ySplit="1" topLeftCell="A24" activePane="bottomLeft" state="frozen"/>
      <selection activeCell="L2" sqref="L2"/>
      <selection pane="bottomLeft" activeCell="A43" sqref="A43:XFD43"/>
    </sheetView>
  </sheetViews>
  <sheetFormatPr defaultColWidth="9.140625" defaultRowHeight="12.75" x14ac:dyDescent="0.2"/>
  <cols>
    <col min="1" max="1" width="10.140625" style="3" customWidth="1"/>
    <col min="2" max="2" width="25.7109375" style="3" customWidth="1"/>
    <col min="3" max="3" width="10.85546875" style="3" bestFit="1" customWidth="1"/>
    <col min="4" max="4" width="13.7109375" style="3" customWidth="1"/>
    <col min="5" max="5" width="11.42578125" style="8" customWidth="1"/>
    <col min="6" max="7" width="8" style="3" customWidth="1"/>
    <col min="8" max="8" width="8" style="11" customWidth="1"/>
    <col min="9" max="9" width="10.5703125" style="11" customWidth="1"/>
    <col min="10" max="10" width="15.28515625" style="11" customWidth="1"/>
    <col min="11" max="11" width="9.140625" style="28" customWidth="1"/>
    <col min="12" max="12" width="8" style="14" customWidth="1"/>
    <col min="13" max="13" width="116.28515625" style="82" customWidth="1"/>
    <col min="14" max="16384" width="9.140625" style="3"/>
  </cols>
  <sheetData>
    <row r="1" spans="1:13" s="1" customFormat="1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1" t="s">
        <v>5</v>
      </c>
      <c r="G1" s="1" t="s">
        <v>6</v>
      </c>
      <c r="H1" s="9" t="s">
        <v>7</v>
      </c>
      <c r="I1" s="30" t="s">
        <v>8</v>
      </c>
      <c r="J1" s="30" t="s">
        <v>9</v>
      </c>
      <c r="K1" s="25" t="s">
        <v>10</v>
      </c>
      <c r="L1" s="16" t="s">
        <v>11</v>
      </c>
      <c r="M1" s="77" t="s">
        <v>12</v>
      </c>
    </row>
    <row r="2" spans="1:13" x14ac:dyDescent="0.2">
      <c r="A2" s="2" t="s">
        <v>65</v>
      </c>
      <c r="B2" t="s">
        <v>14</v>
      </c>
      <c r="C2" s="5">
        <v>43510</v>
      </c>
      <c r="D2" s="2" t="s">
        <v>44</v>
      </c>
      <c r="E2" s="7">
        <v>14804</v>
      </c>
      <c r="F2"/>
      <c r="G2"/>
      <c r="H2" s="19">
        <f>0.072-0.945</f>
        <v>-0.873</v>
      </c>
      <c r="I2" s="33">
        <v>132.6</v>
      </c>
      <c r="J2" s="14">
        <v>130.5</v>
      </c>
      <c r="K2" s="34">
        <f>J2-I2</f>
        <v>-2.0999999999999943</v>
      </c>
      <c r="L2" s="14">
        <f>-(671-36)</f>
        <v>-635</v>
      </c>
      <c r="M2" s="2" t="s">
        <v>45</v>
      </c>
    </row>
    <row r="3" spans="1:13" x14ac:dyDescent="0.2">
      <c r="A3" s="2" t="s">
        <v>65</v>
      </c>
      <c r="B3" t="s">
        <v>14</v>
      </c>
      <c r="C3" s="5">
        <v>43510</v>
      </c>
      <c r="D3" s="2" t="s">
        <v>46</v>
      </c>
      <c r="E3" s="7">
        <v>13390039</v>
      </c>
      <c r="F3"/>
      <c r="G3"/>
      <c r="H3" s="10">
        <f>-0.537-0.105</f>
        <v>-0.64200000000000002</v>
      </c>
      <c r="I3" s="10"/>
      <c r="J3" s="10"/>
      <c r="K3" s="27"/>
      <c r="M3" s="51" t="s">
        <v>47</v>
      </c>
    </row>
    <row r="4" spans="1:13" x14ac:dyDescent="0.2">
      <c r="A4" s="2" t="s">
        <v>65</v>
      </c>
      <c r="B4" t="s">
        <v>14</v>
      </c>
      <c r="C4" s="5">
        <v>43510</v>
      </c>
      <c r="D4" s="2" t="s">
        <v>19</v>
      </c>
      <c r="E4" s="12">
        <v>2113</v>
      </c>
      <c r="F4"/>
      <c r="G4"/>
      <c r="H4" s="10"/>
      <c r="I4" s="10"/>
      <c r="J4" s="10"/>
      <c r="K4" s="27"/>
      <c r="M4" s="51"/>
    </row>
    <row r="5" spans="1:13" x14ac:dyDescent="0.2">
      <c r="A5" s="2" t="s">
        <v>65</v>
      </c>
      <c r="B5" t="s">
        <v>14</v>
      </c>
      <c r="C5" s="5">
        <v>43510</v>
      </c>
      <c r="D5" s="2" t="s">
        <v>20</v>
      </c>
      <c r="E5" s="12"/>
      <c r="F5"/>
      <c r="G5"/>
      <c r="H5" s="10">
        <v>-0.33</v>
      </c>
      <c r="I5" s="10"/>
      <c r="J5" s="10"/>
      <c r="K5" s="27"/>
      <c r="M5" s="51"/>
    </row>
    <row r="6" spans="1:13" x14ac:dyDescent="0.2">
      <c r="A6" s="2" t="s">
        <v>65</v>
      </c>
      <c r="B6" t="s">
        <v>14</v>
      </c>
      <c r="C6" s="5">
        <v>43510</v>
      </c>
      <c r="D6" s="2" t="s">
        <v>21</v>
      </c>
      <c r="E6" s="12"/>
      <c r="F6" s="20">
        <v>154283</v>
      </c>
      <c r="G6" s="20">
        <v>509707</v>
      </c>
      <c r="H6" s="21">
        <v>2.12</v>
      </c>
      <c r="I6" s="10"/>
      <c r="J6" s="10"/>
      <c r="K6" s="27"/>
      <c r="M6" s="81"/>
    </row>
    <row r="7" spans="1:13" x14ac:dyDescent="0.2">
      <c r="A7" s="2" t="s">
        <v>65</v>
      </c>
      <c r="B7" t="s">
        <v>14</v>
      </c>
      <c r="C7" s="5">
        <v>43521</v>
      </c>
      <c r="D7" s="2" t="s">
        <v>21</v>
      </c>
      <c r="E7" s="7"/>
      <c r="F7">
        <v>154283</v>
      </c>
      <c r="G7">
        <v>509708</v>
      </c>
      <c r="H7" s="10">
        <v>2.12</v>
      </c>
      <c r="I7" s="10"/>
      <c r="J7" s="10"/>
      <c r="K7" s="27"/>
      <c r="M7" s="81" t="s">
        <v>66</v>
      </c>
    </row>
    <row r="8" spans="1:13" x14ac:dyDescent="0.2">
      <c r="A8" s="2" t="s">
        <v>65</v>
      </c>
      <c r="B8" t="s">
        <v>14</v>
      </c>
      <c r="C8" s="5">
        <v>43521</v>
      </c>
      <c r="D8" s="2" t="s">
        <v>23</v>
      </c>
      <c r="E8" s="7"/>
      <c r="F8"/>
      <c r="G8"/>
      <c r="H8" s="10">
        <v>-1.01</v>
      </c>
      <c r="I8" s="10"/>
      <c r="J8" s="10"/>
      <c r="K8" s="27"/>
      <c r="M8" s="51" t="s">
        <v>50</v>
      </c>
    </row>
    <row r="9" spans="1:13" x14ac:dyDescent="0.2">
      <c r="A9" s="2" t="s">
        <v>65</v>
      </c>
      <c r="B9" t="s">
        <v>14</v>
      </c>
      <c r="C9" s="43">
        <v>43550</v>
      </c>
      <c r="D9" s="2" t="s">
        <v>44</v>
      </c>
      <c r="E9" s="7">
        <v>14804</v>
      </c>
      <c r="F9"/>
      <c r="G9"/>
      <c r="H9" s="10">
        <f>0.0078-0.945</f>
        <v>-0.93719999999999992</v>
      </c>
      <c r="I9" s="33">
        <v>132.6</v>
      </c>
      <c r="J9" s="14">
        <v>130.5</v>
      </c>
      <c r="K9" s="34">
        <f>J9-I9</f>
        <v>-2.0999999999999943</v>
      </c>
      <c r="L9" s="14">
        <f>-(671-36)</f>
        <v>-635</v>
      </c>
      <c r="M9" s="51" t="s">
        <v>67</v>
      </c>
    </row>
    <row r="10" spans="1:13" x14ac:dyDescent="0.2">
      <c r="A10" s="2" t="s">
        <v>65</v>
      </c>
      <c r="B10" t="s">
        <v>14</v>
      </c>
      <c r="C10" s="43">
        <v>43550</v>
      </c>
      <c r="D10" s="2" t="s">
        <v>46</v>
      </c>
      <c r="E10" s="7">
        <v>13390039</v>
      </c>
      <c r="F10"/>
      <c r="G10"/>
      <c r="H10" s="10">
        <f>-0.6695-0.105</f>
        <v>-0.77449999999999997</v>
      </c>
      <c r="I10" s="10"/>
      <c r="J10" s="10"/>
      <c r="K10" s="27"/>
      <c r="M10" s="51" t="s">
        <v>67</v>
      </c>
    </row>
    <row r="11" spans="1:13" x14ac:dyDescent="0.2">
      <c r="A11" s="2" t="s">
        <v>65</v>
      </c>
      <c r="B11" t="s">
        <v>14</v>
      </c>
      <c r="C11" s="43">
        <v>43550</v>
      </c>
      <c r="D11" s="2" t="s">
        <v>23</v>
      </c>
      <c r="E11" s="7"/>
      <c r="F11"/>
      <c r="G11"/>
      <c r="H11" s="10">
        <v>-1.3586</v>
      </c>
      <c r="I11" s="10"/>
      <c r="J11" s="10"/>
      <c r="K11" s="27"/>
      <c r="M11" s="51" t="s">
        <v>61</v>
      </c>
    </row>
    <row r="12" spans="1:13" x14ac:dyDescent="0.2">
      <c r="A12" s="2" t="s">
        <v>65</v>
      </c>
      <c r="B12" t="s">
        <v>14</v>
      </c>
      <c r="C12" s="43">
        <v>43550</v>
      </c>
      <c r="D12" s="2" t="s">
        <v>21</v>
      </c>
      <c r="E12" s="7"/>
      <c r="F12">
        <v>154283</v>
      </c>
      <c r="G12">
        <v>509708</v>
      </c>
      <c r="H12" s="10">
        <v>2.0537000000000001</v>
      </c>
      <c r="I12" s="10"/>
      <c r="J12" s="10"/>
      <c r="K12" s="27"/>
      <c r="M12" s="51"/>
    </row>
    <row r="13" spans="1:13" x14ac:dyDescent="0.2">
      <c r="A13" s="2" t="s">
        <v>65</v>
      </c>
      <c r="B13" t="s">
        <v>14</v>
      </c>
      <c r="C13" s="43">
        <v>43578</v>
      </c>
      <c r="D13" s="2" t="s">
        <v>44</v>
      </c>
      <c r="E13" s="7">
        <v>14804</v>
      </c>
      <c r="F13"/>
      <c r="G13"/>
      <c r="H13" s="10">
        <f>0.0008-0.945</f>
        <v>-0.94419999999999993</v>
      </c>
      <c r="I13" s="33">
        <v>132.6</v>
      </c>
      <c r="J13" s="14">
        <v>130.5</v>
      </c>
      <c r="K13" s="34">
        <f>J13-I13</f>
        <v>-2.0999999999999943</v>
      </c>
      <c r="L13" s="14">
        <f>-(671-36)</f>
        <v>-635</v>
      </c>
      <c r="M13" s="51"/>
    </row>
    <row r="14" spans="1:13" x14ac:dyDescent="0.2">
      <c r="A14" s="2" t="s">
        <v>65</v>
      </c>
      <c r="B14" t="s">
        <v>14</v>
      </c>
      <c r="C14" s="43">
        <v>43578</v>
      </c>
      <c r="D14" s="2" t="s">
        <v>46</v>
      </c>
      <c r="E14" s="7">
        <v>13390039</v>
      </c>
      <c r="F14"/>
      <c r="G14"/>
      <c r="H14" s="10">
        <f>-0.6758-0.105</f>
        <v>-0.78079999999999994</v>
      </c>
      <c r="I14" s="10"/>
      <c r="J14" s="10"/>
      <c r="K14" s="27"/>
      <c r="M14" s="51"/>
    </row>
    <row r="15" spans="1:13" x14ac:dyDescent="0.2">
      <c r="A15" s="2" t="s">
        <v>65</v>
      </c>
      <c r="B15" t="s">
        <v>14</v>
      </c>
      <c r="C15" s="43">
        <v>43578</v>
      </c>
      <c r="D15" s="2" t="s">
        <v>21</v>
      </c>
      <c r="E15" s="7"/>
      <c r="F15">
        <v>154283</v>
      </c>
      <c r="G15">
        <v>509708</v>
      </c>
      <c r="H15" s="10">
        <v>2.0628000000000002</v>
      </c>
      <c r="I15" s="10"/>
      <c r="J15" s="10"/>
      <c r="K15" s="27"/>
      <c r="M15" s="51"/>
    </row>
    <row r="16" spans="1:13" x14ac:dyDescent="0.2">
      <c r="A16" s="2" t="s">
        <v>65</v>
      </c>
      <c r="B16" t="s">
        <v>14</v>
      </c>
      <c r="C16" s="43">
        <v>43605</v>
      </c>
      <c r="D16" s="2" t="s">
        <v>44</v>
      </c>
      <c r="E16" s="7">
        <v>14804</v>
      </c>
      <c r="F16"/>
      <c r="G16"/>
      <c r="H16" s="10">
        <f>0.0028-0.945</f>
        <v>-0.94219999999999993</v>
      </c>
      <c r="I16" s="33">
        <v>132.6</v>
      </c>
      <c r="J16" s="14">
        <v>130.5</v>
      </c>
      <c r="K16" s="34">
        <f>J16-I16</f>
        <v>-2.0999999999999943</v>
      </c>
      <c r="L16" s="14">
        <f>-(671-36)</f>
        <v>-635</v>
      </c>
      <c r="M16" s="51"/>
    </row>
    <row r="17" spans="1:16383" x14ac:dyDescent="0.2">
      <c r="A17" s="2" t="s">
        <v>65</v>
      </c>
      <c r="B17" t="s">
        <v>14</v>
      </c>
      <c r="C17" s="43">
        <v>43605</v>
      </c>
      <c r="D17" s="2" t="s">
        <v>46</v>
      </c>
      <c r="E17" s="7">
        <v>13390039</v>
      </c>
      <c r="F17"/>
      <c r="G17"/>
      <c r="H17" s="10">
        <f>-0.6836-0.105</f>
        <v>-0.78859999999999997</v>
      </c>
      <c r="I17" s="10"/>
      <c r="J17" s="10"/>
      <c r="K17" s="27"/>
      <c r="M17" s="51"/>
    </row>
    <row r="18" spans="1:16383" x14ac:dyDescent="0.2">
      <c r="A18" s="2" t="s">
        <v>65</v>
      </c>
      <c r="B18" t="s">
        <v>14</v>
      </c>
      <c r="C18" s="43">
        <v>43605</v>
      </c>
      <c r="D18" s="2" t="s">
        <v>23</v>
      </c>
      <c r="E18" s="7"/>
      <c r="F18"/>
      <c r="G18"/>
      <c r="H18" s="10">
        <v>-1.2717000000000001</v>
      </c>
      <c r="I18" s="2"/>
      <c r="J18"/>
      <c r="K18" s="5"/>
      <c r="L18" s="7"/>
      <c r="M18" s="2"/>
      <c r="N18"/>
      <c r="O18" s="10"/>
      <c r="P18" s="2"/>
      <c r="Q18"/>
      <c r="R18" s="5"/>
      <c r="S18" s="2"/>
      <c r="T18" s="7"/>
      <c r="U18"/>
      <c r="V18"/>
      <c r="W18" s="10">
        <v>-1.01</v>
      </c>
      <c r="X18" s="2" t="s">
        <v>65</v>
      </c>
      <c r="Y18" t="s">
        <v>14</v>
      </c>
      <c r="Z18" s="5">
        <v>43521</v>
      </c>
      <c r="AA18" s="2" t="s">
        <v>68</v>
      </c>
      <c r="AB18" s="7"/>
      <c r="AC18"/>
      <c r="AD18"/>
      <c r="AE18" s="10">
        <v>-1.01</v>
      </c>
      <c r="AF18" s="2" t="s">
        <v>65</v>
      </c>
      <c r="AG18" t="s">
        <v>14</v>
      </c>
      <c r="AH18" s="5">
        <v>43521</v>
      </c>
      <c r="AI18" s="2" t="s">
        <v>68</v>
      </c>
      <c r="AJ18" s="7"/>
      <c r="AK18"/>
      <c r="AL18"/>
      <c r="AM18" s="10">
        <v>-1.01</v>
      </c>
      <c r="AN18" s="2" t="s">
        <v>65</v>
      </c>
      <c r="AO18" t="s">
        <v>14</v>
      </c>
      <c r="AP18" s="5">
        <v>43521</v>
      </c>
      <c r="AQ18" s="2" t="s">
        <v>68</v>
      </c>
      <c r="AR18" s="7"/>
      <c r="AS18"/>
      <c r="AT18"/>
      <c r="AU18" s="10">
        <v>-1.01</v>
      </c>
      <c r="AV18" s="2" t="s">
        <v>65</v>
      </c>
      <c r="AW18" t="s">
        <v>14</v>
      </c>
      <c r="AX18" s="5">
        <v>43521</v>
      </c>
      <c r="AY18" s="2" t="s">
        <v>68</v>
      </c>
      <c r="AZ18" s="7"/>
      <c r="BA18"/>
      <c r="BB18"/>
      <c r="BC18" s="10">
        <v>-1.01</v>
      </c>
      <c r="BD18" s="2" t="s">
        <v>65</v>
      </c>
      <c r="BE18" t="s">
        <v>14</v>
      </c>
      <c r="BF18" s="5">
        <v>43521</v>
      </c>
      <c r="BG18" s="2" t="s">
        <v>68</v>
      </c>
      <c r="BH18" s="7"/>
      <c r="BI18"/>
      <c r="BJ18"/>
      <c r="BK18" s="10">
        <v>-1.01</v>
      </c>
      <c r="BL18" s="2" t="s">
        <v>65</v>
      </c>
      <c r="BM18" t="s">
        <v>14</v>
      </c>
      <c r="BN18" s="5">
        <v>43521</v>
      </c>
      <c r="BO18" s="2" t="s">
        <v>68</v>
      </c>
      <c r="BP18" s="7"/>
      <c r="BQ18"/>
      <c r="BR18"/>
      <c r="BS18" s="10">
        <v>-1.01</v>
      </c>
      <c r="BT18" s="2" t="s">
        <v>65</v>
      </c>
      <c r="BU18" t="s">
        <v>14</v>
      </c>
      <c r="BV18" s="5">
        <v>43521</v>
      </c>
      <c r="BW18" s="2" t="s">
        <v>68</v>
      </c>
      <c r="BX18" s="7"/>
      <c r="BY18"/>
      <c r="BZ18"/>
      <c r="CA18" s="10">
        <v>-1.01</v>
      </c>
      <c r="CB18" s="2" t="s">
        <v>65</v>
      </c>
      <c r="CC18" t="s">
        <v>14</v>
      </c>
      <c r="CD18" s="5">
        <v>43521</v>
      </c>
      <c r="CE18" s="2" t="s">
        <v>68</v>
      </c>
      <c r="CF18" s="7"/>
      <c r="CG18"/>
      <c r="CH18"/>
      <c r="CI18" s="10">
        <v>-1.01</v>
      </c>
      <c r="CJ18" s="2" t="s">
        <v>65</v>
      </c>
      <c r="CK18" t="s">
        <v>14</v>
      </c>
      <c r="CL18" s="5">
        <v>43521</v>
      </c>
      <c r="CM18" s="2" t="s">
        <v>68</v>
      </c>
      <c r="CN18" s="7"/>
      <c r="CO18"/>
      <c r="CP18"/>
      <c r="CQ18" s="10">
        <v>-1.01</v>
      </c>
      <c r="CR18" s="2" t="s">
        <v>65</v>
      </c>
      <c r="CS18" t="s">
        <v>14</v>
      </c>
      <c r="CT18" s="5">
        <v>43521</v>
      </c>
      <c r="CU18" s="2" t="s">
        <v>68</v>
      </c>
      <c r="CV18" s="7"/>
      <c r="CW18"/>
      <c r="CX18"/>
      <c r="CY18" s="10">
        <v>-1.01</v>
      </c>
      <c r="CZ18" s="2" t="s">
        <v>65</v>
      </c>
      <c r="DA18" t="s">
        <v>14</v>
      </c>
      <c r="DB18" s="5">
        <v>43521</v>
      </c>
      <c r="DC18" s="2" t="s">
        <v>68</v>
      </c>
      <c r="DD18" s="7"/>
      <c r="DE18"/>
      <c r="DF18"/>
      <c r="DG18" s="10">
        <v>-1.01</v>
      </c>
      <c r="DH18" s="2" t="s">
        <v>65</v>
      </c>
      <c r="DI18" t="s">
        <v>14</v>
      </c>
      <c r="DJ18" s="5">
        <v>43521</v>
      </c>
      <c r="DK18" s="2" t="s">
        <v>68</v>
      </c>
      <c r="DL18" s="7"/>
      <c r="DM18"/>
      <c r="DN18"/>
      <c r="DO18" s="10">
        <v>-1.01</v>
      </c>
      <c r="DP18" s="2" t="s">
        <v>65</v>
      </c>
      <c r="DQ18" t="s">
        <v>14</v>
      </c>
      <c r="DR18" s="5">
        <v>43521</v>
      </c>
      <c r="DS18" s="2" t="s">
        <v>68</v>
      </c>
      <c r="DT18" s="7"/>
      <c r="DU18"/>
      <c r="DV18"/>
      <c r="DW18" s="10">
        <v>-1.01</v>
      </c>
      <c r="DX18" s="2" t="s">
        <v>65</v>
      </c>
      <c r="DY18" t="s">
        <v>14</v>
      </c>
      <c r="DZ18" s="5">
        <v>43521</v>
      </c>
      <c r="EA18" s="2" t="s">
        <v>68</v>
      </c>
      <c r="EB18" s="7"/>
      <c r="EC18"/>
      <c r="ED18"/>
      <c r="EE18" s="10">
        <v>-1.01</v>
      </c>
      <c r="EF18" s="2" t="s">
        <v>65</v>
      </c>
      <c r="EG18" t="s">
        <v>14</v>
      </c>
      <c r="EH18" s="5">
        <v>43521</v>
      </c>
      <c r="EI18" s="2" t="s">
        <v>68</v>
      </c>
      <c r="EJ18" s="7"/>
      <c r="EK18"/>
      <c r="EL18"/>
      <c r="EM18" s="10">
        <v>-1.01</v>
      </c>
      <c r="EN18" s="2" t="s">
        <v>65</v>
      </c>
      <c r="EO18" t="s">
        <v>14</v>
      </c>
      <c r="EP18" s="5">
        <v>43521</v>
      </c>
      <c r="EQ18" s="2" t="s">
        <v>68</v>
      </c>
      <c r="ER18" s="7"/>
      <c r="ES18"/>
      <c r="ET18"/>
      <c r="EU18" s="10">
        <v>-1.01</v>
      </c>
      <c r="EV18" s="2" t="s">
        <v>65</v>
      </c>
      <c r="EW18" t="s">
        <v>14</v>
      </c>
      <c r="EX18" s="5">
        <v>43521</v>
      </c>
      <c r="EY18" s="2" t="s">
        <v>68</v>
      </c>
      <c r="EZ18" s="7"/>
      <c r="FA18"/>
      <c r="FB18"/>
      <c r="FC18" s="10">
        <v>-1.01</v>
      </c>
      <c r="FD18" s="2" t="s">
        <v>65</v>
      </c>
      <c r="FE18" t="s">
        <v>14</v>
      </c>
      <c r="FF18" s="5">
        <v>43521</v>
      </c>
      <c r="FG18" s="2" t="s">
        <v>68</v>
      </c>
      <c r="FH18" s="7"/>
      <c r="FI18"/>
      <c r="FJ18"/>
      <c r="FK18" s="10">
        <v>-1.01</v>
      </c>
      <c r="FL18" s="2" t="s">
        <v>65</v>
      </c>
      <c r="FM18" t="s">
        <v>14</v>
      </c>
      <c r="FN18" s="5">
        <v>43521</v>
      </c>
      <c r="FO18" s="2" t="s">
        <v>68</v>
      </c>
      <c r="FP18" s="7"/>
      <c r="FQ18"/>
      <c r="FR18"/>
      <c r="FS18" s="10">
        <v>-1.01</v>
      </c>
      <c r="FT18" s="2" t="s">
        <v>65</v>
      </c>
      <c r="FU18" t="s">
        <v>14</v>
      </c>
      <c r="FV18" s="5">
        <v>43521</v>
      </c>
      <c r="FW18" s="2" t="s">
        <v>68</v>
      </c>
      <c r="FX18" s="7"/>
      <c r="FY18"/>
      <c r="FZ18"/>
      <c r="GA18" s="10">
        <v>-1.01</v>
      </c>
      <c r="GB18" s="2" t="s">
        <v>65</v>
      </c>
      <c r="GC18" t="s">
        <v>14</v>
      </c>
      <c r="GD18" s="5">
        <v>43521</v>
      </c>
      <c r="GE18" s="2" t="s">
        <v>68</v>
      </c>
      <c r="GF18" s="7"/>
      <c r="GG18"/>
      <c r="GH18"/>
      <c r="GI18" s="10">
        <v>-1.01</v>
      </c>
      <c r="GJ18" s="2" t="s">
        <v>65</v>
      </c>
      <c r="GK18" t="s">
        <v>14</v>
      </c>
      <c r="GL18" s="5">
        <v>43521</v>
      </c>
      <c r="GM18" s="2" t="s">
        <v>68</v>
      </c>
      <c r="GN18" s="7"/>
      <c r="GO18"/>
      <c r="GP18"/>
      <c r="GQ18" s="10">
        <v>-1.01</v>
      </c>
      <c r="GR18" s="2" t="s">
        <v>65</v>
      </c>
      <c r="GS18" t="s">
        <v>14</v>
      </c>
      <c r="GT18" s="5">
        <v>43521</v>
      </c>
      <c r="GU18" s="2" t="s">
        <v>68</v>
      </c>
      <c r="GV18" s="7"/>
      <c r="GW18"/>
      <c r="GX18"/>
      <c r="GY18" s="10">
        <v>-1.01</v>
      </c>
      <c r="GZ18" s="2" t="s">
        <v>65</v>
      </c>
      <c r="HA18" t="s">
        <v>14</v>
      </c>
      <c r="HB18" s="5">
        <v>43521</v>
      </c>
      <c r="HC18" s="2" t="s">
        <v>68</v>
      </c>
      <c r="HD18" s="7"/>
      <c r="HE18"/>
      <c r="HF18"/>
      <c r="HG18" s="10">
        <v>-1.01</v>
      </c>
      <c r="HH18" s="2" t="s">
        <v>65</v>
      </c>
      <c r="HI18" t="s">
        <v>14</v>
      </c>
      <c r="HJ18" s="5">
        <v>43521</v>
      </c>
      <c r="HK18" s="2" t="s">
        <v>68</v>
      </c>
      <c r="HL18" s="7"/>
      <c r="HM18"/>
      <c r="HN18"/>
      <c r="HO18" s="10">
        <v>-1.01</v>
      </c>
      <c r="HP18" s="2" t="s">
        <v>65</v>
      </c>
      <c r="HQ18" t="s">
        <v>14</v>
      </c>
      <c r="HR18" s="5">
        <v>43521</v>
      </c>
      <c r="HS18" s="2" t="s">
        <v>68</v>
      </c>
      <c r="HT18" s="7"/>
      <c r="HU18"/>
      <c r="HV18"/>
      <c r="HW18" s="10">
        <v>-1.01</v>
      </c>
      <c r="HX18" s="2" t="s">
        <v>65</v>
      </c>
      <c r="HY18" t="s">
        <v>14</v>
      </c>
      <c r="HZ18" s="5">
        <v>43521</v>
      </c>
      <c r="IA18" s="2" t="s">
        <v>68</v>
      </c>
      <c r="IB18" s="7"/>
      <c r="IC18"/>
      <c r="ID18"/>
      <c r="IE18" s="10">
        <v>-1.01</v>
      </c>
      <c r="IF18" s="2" t="s">
        <v>65</v>
      </c>
      <c r="IG18" t="s">
        <v>14</v>
      </c>
      <c r="IH18" s="5">
        <v>43521</v>
      </c>
      <c r="II18" s="2" t="s">
        <v>68</v>
      </c>
      <c r="IJ18" s="7"/>
      <c r="IK18"/>
      <c r="IL18"/>
      <c r="IM18" s="10">
        <v>-1.01</v>
      </c>
      <c r="IN18" s="2" t="s">
        <v>65</v>
      </c>
      <c r="IO18" t="s">
        <v>14</v>
      </c>
      <c r="IP18" s="5">
        <v>43521</v>
      </c>
      <c r="IQ18" s="2" t="s">
        <v>68</v>
      </c>
      <c r="IR18" s="7"/>
      <c r="IS18"/>
      <c r="IT18"/>
      <c r="IU18" s="10">
        <v>-1.01</v>
      </c>
      <c r="IV18" s="2" t="s">
        <v>65</v>
      </c>
      <c r="IW18" t="s">
        <v>14</v>
      </c>
      <c r="IX18" s="5">
        <v>43521</v>
      </c>
      <c r="IY18" s="2" t="s">
        <v>68</v>
      </c>
      <c r="IZ18" s="7"/>
      <c r="JA18"/>
      <c r="JB18"/>
      <c r="JC18" s="10">
        <v>-1.01</v>
      </c>
      <c r="JD18" s="2" t="s">
        <v>65</v>
      </c>
      <c r="JE18" t="s">
        <v>14</v>
      </c>
      <c r="JF18" s="5">
        <v>43521</v>
      </c>
      <c r="JG18" s="2" t="s">
        <v>68</v>
      </c>
      <c r="JH18" s="7"/>
      <c r="JI18"/>
      <c r="JJ18"/>
      <c r="JK18" s="10">
        <v>-1.01</v>
      </c>
      <c r="JL18" s="2" t="s">
        <v>65</v>
      </c>
      <c r="JM18" t="s">
        <v>14</v>
      </c>
      <c r="JN18" s="5">
        <v>43521</v>
      </c>
      <c r="JO18" s="2" t="s">
        <v>68</v>
      </c>
      <c r="JP18" s="7"/>
      <c r="JQ18"/>
      <c r="JR18"/>
      <c r="JS18" s="10">
        <v>-1.01</v>
      </c>
      <c r="JT18" s="2" t="s">
        <v>65</v>
      </c>
      <c r="JU18" t="s">
        <v>14</v>
      </c>
      <c r="JV18" s="5">
        <v>43521</v>
      </c>
      <c r="JW18" s="2" t="s">
        <v>68</v>
      </c>
      <c r="JX18" s="7"/>
      <c r="JY18"/>
      <c r="JZ18"/>
      <c r="KA18" s="10">
        <v>-1.01</v>
      </c>
      <c r="KB18" s="2" t="s">
        <v>65</v>
      </c>
      <c r="KC18" t="s">
        <v>14</v>
      </c>
      <c r="KD18" s="5">
        <v>43521</v>
      </c>
      <c r="KE18" s="2" t="s">
        <v>68</v>
      </c>
      <c r="KF18" s="7"/>
      <c r="KG18"/>
      <c r="KH18"/>
      <c r="KI18" s="10">
        <v>-1.01</v>
      </c>
      <c r="KJ18" s="2" t="s">
        <v>65</v>
      </c>
      <c r="KK18" t="s">
        <v>14</v>
      </c>
      <c r="KL18" s="5">
        <v>43521</v>
      </c>
      <c r="KM18" s="2" t="s">
        <v>68</v>
      </c>
      <c r="KN18" s="7"/>
      <c r="KO18"/>
      <c r="KP18"/>
      <c r="KQ18" s="10">
        <v>-1.01</v>
      </c>
      <c r="KR18" s="2" t="s">
        <v>65</v>
      </c>
      <c r="KS18" t="s">
        <v>14</v>
      </c>
      <c r="KT18" s="5">
        <v>43521</v>
      </c>
      <c r="KU18" s="2" t="s">
        <v>68</v>
      </c>
      <c r="KV18" s="7"/>
      <c r="KW18"/>
      <c r="KX18"/>
      <c r="KY18" s="10">
        <v>-1.01</v>
      </c>
      <c r="KZ18" s="2" t="s">
        <v>65</v>
      </c>
      <c r="LA18" t="s">
        <v>14</v>
      </c>
      <c r="LB18" s="5">
        <v>43521</v>
      </c>
      <c r="LC18" s="2" t="s">
        <v>68</v>
      </c>
      <c r="LD18" s="7"/>
      <c r="LE18"/>
      <c r="LF18"/>
      <c r="LG18" s="10">
        <v>-1.01</v>
      </c>
      <c r="LH18" s="2" t="s">
        <v>65</v>
      </c>
      <c r="LI18" t="s">
        <v>14</v>
      </c>
      <c r="LJ18" s="5">
        <v>43521</v>
      </c>
      <c r="LK18" s="2" t="s">
        <v>68</v>
      </c>
      <c r="LL18" s="7"/>
      <c r="LM18"/>
      <c r="LN18"/>
      <c r="LO18" s="10">
        <v>-1.01</v>
      </c>
      <c r="LP18" s="2" t="s">
        <v>65</v>
      </c>
      <c r="LQ18" t="s">
        <v>14</v>
      </c>
      <c r="LR18" s="5">
        <v>43521</v>
      </c>
      <c r="LS18" s="2" t="s">
        <v>68</v>
      </c>
      <c r="LT18" s="7"/>
      <c r="LU18"/>
      <c r="LV18"/>
      <c r="LW18" s="10">
        <v>-1.01</v>
      </c>
      <c r="LX18" s="2" t="s">
        <v>65</v>
      </c>
      <c r="LY18" t="s">
        <v>14</v>
      </c>
      <c r="LZ18" s="5">
        <v>43521</v>
      </c>
      <c r="MA18" s="2" t="s">
        <v>68</v>
      </c>
      <c r="MB18" s="7"/>
      <c r="MC18"/>
      <c r="MD18"/>
      <c r="ME18" s="10">
        <v>-1.01</v>
      </c>
      <c r="MF18" s="2" t="s">
        <v>65</v>
      </c>
      <c r="MG18" t="s">
        <v>14</v>
      </c>
      <c r="MH18" s="5">
        <v>43521</v>
      </c>
      <c r="MI18" s="2" t="s">
        <v>68</v>
      </c>
      <c r="MJ18" s="7"/>
      <c r="MK18"/>
      <c r="ML18"/>
      <c r="MM18" s="10">
        <v>-1.01</v>
      </c>
      <c r="MN18" s="2" t="s">
        <v>65</v>
      </c>
      <c r="MO18" t="s">
        <v>14</v>
      </c>
      <c r="MP18" s="5">
        <v>43521</v>
      </c>
      <c r="MQ18" s="2" t="s">
        <v>68</v>
      </c>
      <c r="MR18" s="7"/>
      <c r="MS18"/>
      <c r="MT18"/>
      <c r="MU18" s="10">
        <v>-1.01</v>
      </c>
      <c r="MV18" s="2" t="s">
        <v>65</v>
      </c>
      <c r="MW18" t="s">
        <v>14</v>
      </c>
      <c r="MX18" s="5">
        <v>43521</v>
      </c>
      <c r="MY18" s="2" t="s">
        <v>68</v>
      </c>
      <c r="MZ18" s="7"/>
      <c r="NA18"/>
      <c r="NB18"/>
      <c r="NC18" s="10">
        <v>-1.01</v>
      </c>
      <c r="ND18" s="2" t="s">
        <v>65</v>
      </c>
      <c r="NE18" t="s">
        <v>14</v>
      </c>
      <c r="NF18" s="5">
        <v>43521</v>
      </c>
      <c r="NG18" s="2" t="s">
        <v>68</v>
      </c>
      <c r="NH18" s="7"/>
      <c r="NI18"/>
      <c r="NJ18"/>
      <c r="NK18" s="10">
        <v>-1.01</v>
      </c>
      <c r="NL18" s="2" t="s">
        <v>65</v>
      </c>
      <c r="NM18" t="s">
        <v>14</v>
      </c>
      <c r="NN18" s="5">
        <v>43521</v>
      </c>
      <c r="NO18" s="2" t="s">
        <v>68</v>
      </c>
      <c r="NP18" s="7"/>
      <c r="NQ18"/>
      <c r="NR18"/>
      <c r="NS18" s="10">
        <v>-1.01</v>
      </c>
      <c r="NT18" s="2" t="s">
        <v>65</v>
      </c>
      <c r="NU18" t="s">
        <v>14</v>
      </c>
      <c r="NV18" s="5">
        <v>43521</v>
      </c>
      <c r="NW18" s="2" t="s">
        <v>68</v>
      </c>
      <c r="NX18" s="7"/>
      <c r="NY18"/>
      <c r="NZ18"/>
      <c r="OA18" s="10">
        <v>-1.01</v>
      </c>
      <c r="OB18" s="2" t="s">
        <v>65</v>
      </c>
      <c r="OC18" t="s">
        <v>14</v>
      </c>
      <c r="OD18" s="5">
        <v>43521</v>
      </c>
      <c r="OE18" s="2" t="s">
        <v>68</v>
      </c>
      <c r="OF18" s="7"/>
      <c r="OG18"/>
      <c r="OH18"/>
      <c r="OI18" s="10">
        <v>-1.01</v>
      </c>
      <c r="OJ18" s="2" t="s">
        <v>65</v>
      </c>
      <c r="OK18" t="s">
        <v>14</v>
      </c>
      <c r="OL18" s="5">
        <v>43521</v>
      </c>
      <c r="OM18" s="2" t="s">
        <v>68</v>
      </c>
      <c r="ON18" s="7"/>
      <c r="OO18"/>
      <c r="OP18"/>
      <c r="OQ18" s="10">
        <v>-1.01</v>
      </c>
      <c r="OR18" s="2" t="s">
        <v>65</v>
      </c>
      <c r="OS18" t="s">
        <v>14</v>
      </c>
      <c r="OT18" s="5">
        <v>43521</v>
      </c>
      <c r="OU18" s="2" t="s">
        <v>68</v>
      </c>
      <c r="OV18" s="7"/>
      <c r="OW18"/>
      <c r="OX18"/>
      <c r="OY18" s="10">
        <v>-1.01</v>
      </c>
      <c r="OZ18" s="2" t="s">
        <v>65</v>
      </c>
      <c r="PA18" t="s">
        <v>14</v>
      </c>
      <c r="PB18" s="5">
        <v>43521</v>
      </c>
      <c r="PC18" s="2" t="s">
        <v>68</v>
      </c>
      <c r="PD18" s="7"/>
      <c r="PE18"/>
      <c r="PF18"/>
      <c r="PG18" s="10">
        <v>-1.01</v>
      </c>
      <c r="PH18" s="2" t="s">
        <v>65</v>
      </c>
      <c r="PI18" t="s">
        <v>14</v>
      </c>
      <c r="PJ18" s="5">
        <v>43521</v>
      </c>
      <c r="PK18" s="2" t="s">
        <v>68</v>
      </c>
      <c r="PL18" s="7"/>
      <c r="PM18"/>
      <c r="PN18"/>
      <c r="PO18" s="10">
        <v>-1.01</v>
      </c>
      <c r="PP18" s="2" t="s">
        <v>65</v>
      </c>
      <c r="PQ18" t="s">
        <v>14</v>
      </c>
      <c r="PR18" s="5">
        <v>43521</v>
      </c>
      <c r="PS18" s="2" t="s">
        <v>68</v>
      </c>
      <c r="PT18" s="7"/>
      <c r="PU18"/>
      <c r="PV18"/>
      <c r="PW18" s="10">
        <v>-1.01</v>
      </c>
      <c r="PX18" s="2" t="s">
        <v>65</v>
      </c>
      <c r="PY18" t="s">
        <v>14</v>
      </c>
      <c r="PZ18" s="5">
        <v>43521</v>
      </c>
      <c r="QA18" s="2" t="s">
        <v>68</v>
      </c>
      <c r="QB18" s="7"/>
      <c r="QC18"/>
      <c r="QD18"/>
      <c r="QE18" s="10">
        <v>-1.01</v>
      </c>
      <c r="QF18" s="2" t="s">
        <v>65</v>
      </c>
      <c r="QG18" t="s">
        <v>14</v>
      </c>
      <c r="QH18" s="5">
        <v>43521</v>
      </c>
      <c r="QI18" s="2" t="s">
        <v>68</v>
      </c>
      <c r="QJ18" s="7"/>
      <c r="QK18"/>
      <c r="QL18"/>
      <c r="QM18" s="10">
        <v>-1.01</v>
      </c>
      <c r="QN18" s="2" t="s">
        <v>65</v>
      </c>
      <c r="QO18" t="s">
        <v>14</v>
      </c>
      <c r="QP18" s="5">
        <v>43521</v>
      </c>
      <c r="QQ18" s="2" t="s">
        <v>68</v>
      </c>
      <c r="QR18" s="7"/>
      <c r="QS18"/>
      <c r="QT18"/>
      <c r="QU18" s="10">
        <v>-1.01</v>
      </c>
      <c r="QV18" s="2" t="s">
        <v>65</v>
      </c>
      <c r="QW18" t="s">
        <v>14</v>
      </c>
      <c r="QX18" s="5">
        <v>43521</v>
      </c>
      <c r="QY18" s="2" t="s">
        <v>68</v>
      </c>
      <c r="QZ18" s="7"/>
      <c r="RA18"/>
      <c r="RB18"/>
      <c r="RC18" s="10">
        <v>-1.01</v>
      </c>
      <c r="RD18" s="2" t="s">
        <v>65</v>
      </c>
      <c r="RE18" t="s">
        <v>14</v>
      </c>
      <c r="RF18" s="5">
        <v>43521</v>
      </c>
      <c r="RG18" s="2" t="s">
        <v>68</v>
      </c>
      <c r="RH18" s="7"/>
      <c r="RI18"/>
      <c r="RJ18"/>
      <c r="RK18" s="10">
        <v>-1.01</v>
      </c>
      <c r="RL18" s="2" t="s">
        <v>65</v>
      </c>
      <c r="RM18" t="s">
        <v>14</v>
      </c>
      <c r="RN18" s="5">
        <v>43521</v>
      </c>
      <c r="RO18" s="2" t="s">
        <v>68</v>
      </c>
      <c r="RP18" s="7"/>
      <c r="RQ18"/>
      <c r="RR18"/>
      <c r="RS18" s="10">
        <v>-1.01</v>
      </c>
      <c r="RT18" s="2" t="s">
        <v>65</v>
      </c>
      <c r="RU18" t="s">
        <v>14</v>
      </c>
      <c r="RV18" s="5">
        <v>43521</v>
      </c>
      <c r="RW18" s="2" t="s">
        <v>68</v>
      </c>
      <c r="RX18" s="7"/>
      <c r="RY18"/>
      <c r="RZ18"/>
      <c r="SA18" s="10">
        <v>-1.01</v>
      </c>
      <c r="SB18" s="2" t="s">
        <v>65</v>
      </c>
      <c r="SC18" t="s">
        <v>14</v>
      </c>
      <c r="SD18" s="5">
        <v>43521</v>
      </c>
      <c r="SE18" s="2" t="s">
        <v>68</v>
      </c>
      <c r="SF18" s="7"/>
      <c r="SG18"/>
      <c r="SH18"/>
      <c r="SI18" s="10">
        <v>-1.01</v>
      </c>
      <c r="SJ18" s="2" t="s">
        <v>65</v>
      </c>
      <c r="SK18" t="s">
        <v>14</v>
      </c>
      <c r="SL18" s="5">
        <v>43521</v>
      </c>
      <c r="SM18" s="2" t="s">
        <v>68</v>
      </c>
      <c r="SN18" s="7"/>
      <c r="SO18"/>
      <c r="SP18"/>
      <c r="SQ18" s="10">
        <v>-1.01</v>
      </c>
      <c r="SR18" s="2" t="s">
        <v>65</v>
      </c>
      <c r="SS18" t="s">
        <v>14</v>
      </c>
      <c r="ST18" s="5">
        <v>43521</v>
      </c>
      <c r="SU18" s="2" t="s">
        <v>68</v>
      </c>
      <c r="SV18" s="7"/>
      <c r="SW18"/>
      <c r="SX18"/>
      <c r="SY18" s="10">
        <v>-1.01</v>
      </c>
      <c r="SZ18" s="2" t="s">
        <v>65</v>
      </c>
      <c r="TA18" t="s">
        <v>14</v>
      </c>
      <c r="TB18" s="5">
        <v>43521</v>
      </c>
      <c r="TC18" s="2" t="s">
        <v>68</v>
      </c>
      <c r="TD18" s="7"/>
      <c r="TE18"/>
      <c r="TF18"/>
      <c r="TG18" s="10">
        <v>-1.01</v>
      </c>
      <c r="TH18" s="2" t="s">
        <v>65</v>
      </c>
      <c r="TI18" t="s">
        <v>14</v>
      </c>
      <c r="TJ18" s="5">
        <v>43521</v>
      </c>
      <c r="TK18" s="2" t="s">
        <v>68</v>
      </c>
      <c r="TL18" s="7"/>
      <c r="TM18"/>
      <c r="TN18"/>
      <c r="TO18" s="10">
        <v>-1.01</v>
      </c>
      <c r="TP18" s="2" t="s">
        <v>65</v>
      </c>
      <c r="TQ18" t="s">
        <v>14</v>
      </c>
      <c r="TR18" s="5">
        <v>43521</v>
      </c>
      <c r="TS18" s="2" t="s">
        <v>68</v>
      </c>
      <c r="TT18" s="7"/>
      <c r="TU18"/>
      <c r="TV18"/>
      <c r="TW18" s="10">
        <v>-1.01</v>
      </c>
      <c r="TX18" s="2" t="s">
        <v>65</v>
      </c>
      <c r="TY18" t="s">
        <v>14</v>
      </c>
      <c r="TZ18" s="5">
        <v>43521</v>
      </c>
      <c r="UA18" s="2" t="s">
        <v>68</v>
      </c>
      <c r="UB18" s="7"/>
      <c r="UC18"/>
      <c r="UD18"/>
      <c r="UE18" s="10">
        <v>-1.01</v>
      </c>
      <c r="UF18" s="2" t="s">
        <v>65</v>
      </c>
      <c r="UG18" t="s">
        <v>14</v>
      </c>
      <c r="UH18" s="5">
        <v>43521</v>
      </c>
      <c r="UI18" s="2" t="s">
        <v>68</v>
      </c>
      <c r="UJ18" s="7"/>
      <c r="UK18"/>
      <c r="UL18"/>
      <c r="UM18" s="10">
        <v>-1.01</v>
      </c>
      <c r="UN18" s="2" t="s">
        <v>65</v>
      </c>
      <c r="UO18" t="s">
        <v>14</v>
      </c>
      <c r="UP18" s="5">
        <v>43521</v>
      </c>
      <c r="UQ18" s="2" t="s">
        <v>68</v>
      </c>
      <c r="UR18" s="7"/>
      <c r="US18"/>
      <c r="UT18"/>
      <c r="UU18" s="10">
        <v>-1.01</v>
      </c>
      <c r="UV18" s="2" t="s">
        <v>65</v>
      </c>
      <c r="UW18" t="s">
        <v>14</v>
      </c>
      <c r="UX18" s="5">
        <v>43521</v>
      </c>
      <c r="UY18" s="2" t="s">
        <v>68</v>
      </c>
      <c r="UZ18" s="7"/>
      <c r="VA18"/>
      <c r="VB18"/>
      <c r="VC18" s="10">
        <v>-1.01</v>
      </c>
      <c r="VD18" s="2" t="s">
        <v>65</v>
      </c>
      <c r="VE18" t="s">
        <v>14</v>
      </c>
      <c r="VF18" s="5">
        <v>43521</v>
      </c>
      <c r="VG18" s="2" t="s">
        <v>68</v>
      </c>
      <c r="VH18" s="7"/>
      <c r="VI18"/>
      <c r="VJ18"/>
      <c r="VK18" s="10">
        <v>-1.01</v>
      </c>
      <c r="VL18" s="2" t="s">
        <v>65</v>
      </c>
      <c r="VM18" t="s">
        <v>14</v>
      </c>
      <c r="VN18" s="5">
        <v>43521</v>
      </c>
      <c r="VO18" s="2" t="s">
        <v>68</v>
      </c>
      <c r="VP18" s="7"/>
      <c r="VQ18"/>
      <c r="VR18"/>
      <c r="VS18" s="10">
        <v>-1.01</v>
      </c>
      <c r="VT18" s="2" t="s">
        <v>65</v>
      </c>
      <c r="VU18" t="s">
        <v>14</v>
      </c>
      <c r="VV18" s="5">
        <v>43521</v>
      </c>
      <c r="VW18" s="2" t="s">
        <v>68</v>
      </c>
      <c r="VX18" s="7"/>
      <c r="VY18"/>
      <c r="VZ18"/>
      <c r="WA18" s="10">
        <v>-1.01</v>
      </c>
      <c r="WB18" s="2" t="s">
        <v>65</v>
      </c>
      <c r="WC18" t="s">
        <v>14</v>
      </c>
      <c r="WD18" s="5">
        <v>43521</v>
      </c>
      <c r="WE18" s="2" t="s">
        <v>68</v>
      </c>
      <c r="WF18" s="7"/>
      <c r="WG18"/>
      <c r="WH18"/>
      <c r="WI18" s="10">
        <v>-1.01</v>
      </c>
      <c r="WJ18" s="2" t="s">
        <v>65</v>
      </c>
      <c r="WK18" t="s">
        <v>14</v>
      </c>
      <c r="WL18" s="5">
        <v>43521</v>
      </c>
      <c r="WM18" s="2" t="s">
        <v>68</v>
      </c>
      <c r="WN18" s="7"/>
      <c r="WO18"/>
      <c r="WP18"/>
      <c r="WQ18" s="10">
        <v>-1.01</v>
      </c>
      <c r="WR18" s="2" t="s">
        <v>65</v>
      </c>
      <c r="WS18" t="s">
        <v>14</v>
      </c>
      <c r="WT18" s="5">
        <v>43521</v>
      </c>
      <c r="WU18" s="2" t="s">
        <v>68</v>
      </c>
      <c r="WV18" s="7"/>
      <c r="WW18"/>
      <c r="WX18"/>
      <c r="WY18" s="10">
        <v>-1.01</v>
      </c>
      <c r="WZ18" s="2" t="s">
        <v>65</v>
      </c>
      <c r="XA18" t="s">
        <v>14</v>
      </c>
      <c r="XB18" s="5">
        <v>43521</v>
      </c>
      <c r="XC18" s="2" t="s">
        <v>68</v>
      </c>
      <c r="XD18" s="7"/>
      <c r="XE18"/>
      <c r="XF18"/>
      <c r="XG18" s="10">
        <v>-1.01</v>
      </c>
      <c r="XH18" s="2" t="s">
        <v>65</v>
      </c>
      <c r="XI18" t="s">
        <v>14</v>
      </c>
      <c r="XJ18" s="5">
        <v>43521</v>
      </c>
      <c r="XK18" s="2" t="s">
        <v>68</v>
      </c>
      <c r="XL18" s="7"/>
      <c r="XM18"/>
      <c r="XN18"/>
      <c r="XO18" s="10">
        <v>-1.01</v>
      </c>
      <c r="XP18" s="2" t="s">
        <v>65</v>
      </c>
      <c r="XQ18" t="s">
        <v>14</v>
      </c>
      <c r="XR18" s="5">
        <v>43521</v>
      </c>
      <c r="XS18" s="2" t="s">
        <v>68</v>
      </c>
      <c r="XT18" s="7"/>
      <c r="XU18"/>
      <c r="XV18"/>
      <c r="XW18" s="10">
        <v>-1.01</v>
      </c>
      <c r="XX18" s="2" t="s">
        <v>65</v>
      </c>
      <c r="XY18" t="s">
        <v>14</v>
      </c>
      <c r="XZ18" s="5">
        <v>43521</v>
      </c>
      <c r="YA18" s="2" t="s">
        <v>68</v>
      </c>
      <c r="YB18" s="7"/>
      <c r="YC18"/>
      <c r="YD18"/>
      <c r="YE18" s="10">
        <v>-1.01</v>
      </c>
      <c r="YF18" s="2" t="s">
        <v>65</v>
      </c>
      <c r="YG18" t="s">
        <v>14</v>
      </c>
      <c r="YH18" s="5">
        <v>43521</v>
      </c>
      <c r="YI18" s="2" t="s">
        <v>68</v>
      </c>
      <c r="YJ18" s="7"/>
      <c r="YK18"/>
      <c r="YL18"/>
      <c r="YM18" s="10">
        <v>-1.01</v>
      </c>
      <c r="YN18" s="2" t="s">
        <v>65</v>
      </c>
      <c r="YO18" t="s">
        <v>14</v>
      </c>
      <c r="YP18" s="5">
        <v>43521</v>
      </c>
      <c r="YQ18" s="2" t="s">
        <v>68</v>
      </c>
      <c r="YR18" s="7"/>
      <c r="YS18"/>
      <c r="YT18"/>
      <c r="YU18" s="10">
        <v>-1.01</v>
      </c>
      <c r="YV18" s="2" t="s">
        <v>65</v>
      </c>
      <c r="YW18" t="s">
        <v>14</v>
      </c>
      <c r="YX18" s="5">
        <v>43521</v>
      </c>
      <c r="YY18" s="2" t="s">
        <v>68</v>
      </c>
      <c r="YZ18" s="7"/>
      <c r="ZA18"/>
      <c r="ZB18"/>
      <c r="ZC18" s="10">
        <v>-1.01</v>
      </c>
      <c r="ZD18" s="2" t="s">
        <v>65</v>
      </c>
      <c r="ZE18" t="s">
        <v>14</v>
      </c>
      <c r="ZF18" s="5">
        <v>43521</v>
      </c>
      <c r="ZG18" s="2" t="s">
        <v>68</v>
      </c>
      <c r="ZH18" s="7"/>
      <c r="ZI18"/>
      <c r="ZJ18"/>
      <c r="ZK18" s="10">
        <v>-1.01</v>
      </c>
      <c r="ZL18" s="2" t="s">
        <v>65</v>
      </c>
      <c r="ZM18" t="s">
        <v>14</v>
      </c>
      <c r="ZN18" s="5">
        <v>43521</v>
      </c>
      <c r="ZO18" s="2" t="s">
        <v>68</v>
      </c>
      <c r="ZP18" s="7"/>
      <c r="ZQ18"/>
      <c r="ZR18"/>
      <c r="ZS18" s="10">
        <v>-1.01</v>
      </c>
      <c r="ZT18" s="2" t="s">
        <v>65</v>
      </c>
      <c r="ZU18" t="s">
        <v>14</v>
      </c>
      <c r="ZV18" s="5">
        <v>43521</v>
      </c>
      <c r="ZW18" s="2" t="s">
        <v>68</v>
      </c>
      <c r="ZX18" s="7"/>
      <c r="ZY18"/>
      <c r="ZZ18"/>
      <c r="AAA18" s="10">
        <v>-1.01</v>
      </c>
      <c r="AAB18" s="2" t="s">
        <v>65</v>
      </c>
      <c r="AAC18" t="s">
        <v>14</v>
      </c>
      <c r="AAD18" s="5">
        <v>43521</v>
      </c>
      <c r="AAE18" s="2" t="s">
        <v>68</v>
      </c>
      <c r="AAF18" s="7"/>
      <c r="AAG18"/>
      <c r="AAH18"/>
      <c r="AAI18" s="10">
        <v>-1.01</v>
      </c>
      <c r="AAJ18" s="2" t="s">
        <v>65</v>
      </c>
      <c r="AAK18" t="s">
        <v>14</v>
      </c>
      <c r="AAL18" s="5">
        <v>43521</v>
      </c>
      <c r="AAM18" s="2" t="s">
        <v>68</v>
      </c>
      <c r="AAN18" s="7"/>
      <c r="AAO18"/>
      <c r="AAP18"/>
      <c r="AAQ18" s="10">
        <v>-1.01</v>
      </c>
      <c r="AAR18" s="2" t="s">
        <v>65</v>
      </c>
      <c r="AAS18" t="s">
        <v>14</v>
      </c>
      <c r="AAT18" s="5">
        <v>43521</v>
      </c>
      <c r="AAU18" s="2" t="s">
        <v>68</v>
      </c>
      <c r="AAV18" s="7"/>
      <c r="AAW18"/>
      <c r="AAX18"/>
      <c r="AAY18" s="10">
        <v>-1.01</v>
      </c>
      <c r="AAZ18" s="2" t="s">
        <v>65</v>
      </c>
      <c r="ABA18" t="s">
        <v>14</v>
      </c>
      <c r="ABB18" s="5">
        <v>43521</v>
      </c>
      <c r="ABC18" s="2" t="s">
        <v>68</v>
      </c>
      <c r="ABD18" s="7"/>
      <c r="ABE18"/>
      <c r="ABF18"/>
      <c r="ABG18" s="10">
        <v>-1.01</v>
      </c>
      <c r="ABH18" s="2" t="s">
        <v>65</v>
      </c>
      <c r="ABI18" t="s">
        <v>14</v>
      </c>
      <c r="ABJ18" s="5">
        <v>43521</v>
      </c>
      <c r="ABK18" s="2" t="s">
        <v>68</v>
      </c>
      <c r="ABL18" s="7"/>
      <c r="ABM18"/>
      <c r="ABN18"/>
      <c r="ABO18" s="10">
        <v>-1.01</v>
      </c>
      <c r="ABP18" s="2" t="s">
        <v>65</v>
      </c>
      <c r="ABQ18" t="s">
        <v>14</v>
      </c>
      <c r="ABR18" s="5">
        <v>43521</v>
      </c>
      <c r="ABS18" s="2" t="s">
        <v>68</v>
      </c>
      <c r="ABT18" s="7"/>
      <c r="ABU18"/>
      <c r="ABV18"/>
      <c r="ABW18" s="10">
        <v>-1.01</v>
      </c>
      <c r="ABX18" s="2" t="s">
        <v>65</v>
      </c>
      <c r="ABY18" t="s">
        <v>14</v>
      </c>
      <c r="ABZ18" s="5">
        <v>43521</v>
      </c>
      <c r="ACA18" s="2" t="s">
        <v>68</v>
      </c>
      <c r="ACB18" s="7"/>
      <c r="ACC18"/>
      <c r="ACD18"/>
      <c r="ACE18" s="10">
        <v>-1.01</v>
      </c>
      <c r="ACF18" s="2" t="s">
        <v>65</v>
      </c>
      <c r="ACG18" t="s">
        <v>14</v>
      </c>
      <c r="ACH18" s="5">
        <v>43521</v>
      </c>
      <c r="ACI18" s="2" t="s">
        <v>68</v>
      </c>
      <c r="ACJ18" s="7"/>
      <c r="ACK18"/>
      <c r="ACL18"/>
      <c r="ACM18" s="10">
        <v>-1.01</v>
      </c>
      <c r="ACN18" s="2" t="s">
        <v>65</v>
      </c>
      <c r="ACO18" t="s">
        <v>14</v>
      </c>
      <c r="ACP18" s="5">
        <v>43521</v>
      </c>
      <c r="ACQ18" s="2" t="s">
        <v>68</v>
      </c>
      <c r="ACR18" s="7"/>
      <c r="ACS18"/>
      <c r="ACT18"/>
      <c r="ACU18" s="10">
        <v>-1.01</v>
      </c>
      <c r="ACV18" s="2" t="s">
        <v>65</v>
      </c>
      <c r="ACW18" t="s">
        <v>14</v>
      </c>
      <c r="ACX18" s="5">
        <v>43521</v>
      </c>
      <c r="ACY18" s="2" t="s">
        <v>68</v>
      </c>
      <c r="ACZ18" s="7"/>
      <c r="ADA18"/>
      <c r="ADB18"/>
      <c r="ADC18" s="10">
        <v>-1.01</v>
      </c>
      <c r="ADD18" s="2" t="s">
        <v>65</v>
      </c>
      <c r="ADE18" t="s">
        <v>14</v>
      </c>
      <c r="ADF18" s="5">
        <v>43521</v>
      </c>
      <c r="ADG18" s="2" t="s">
        <v>68</v>
      </c>
      <c r="ADH18" s="7"/>
      <c r="ADI18"/>
      <c r="ADJ18"/>
      <c r="ADK18" s="10">
        <v>-1.01</v>
      </c>
      <c r="ADL18" s="2" t="s">
        <v>65</v>
      </c>
      <c r="ADM18" t="s">
        <v>14</v>
      </c>
      <c r="ADN18" s="5">
        <v>43521</v>
      </c>
      <c r="ADO18" s="2" t="s">
        <v>68</v>
      </c>
      <c r="ADP18" s="7"/>
      <c r="ADQ18"/>
      <c r="ADR18"/>
      <c r="ADS18" s="10">
        <v>-1.01</v>
      </c>
      <c r="ADT18" s="2" t="s">
        <v>65</v>
      </c>
      <c r="ADU18" t="s">
        <v>14</v>
      </c>
      <c r="ADV18" s="5">
        <v>43521</v>
      </c>
      <c r="ADW18" s="2" t="s">
        <v>68</v>
      </c>
      <c r="ADX18" s="7"/>
      <c r="ADY18"/>
      <c r="ADZ18"/>
      <c r="AEA18" s="10">
        <v>-1.01</v>
      </c>
      <c r="AEB18" s="2" t="s">
        <v>65</v>
      </c>
      <c r="AEC18" t="s">
        <v>14</v>
      </c>
      <c r="AED18" s="5">
        <v>43521</v>
      </c>
      <c r="AEE18" s="2" t="s">
        <v>68</v>
      </c>
      <c r="AEF18" s="7"/>
      <c r="AEG18"/>
      <c r="AEH18"/>
      <c r="AEI18" s="10">
        <v>-1.01</v>
      </c>
      <c r="AEJ18" s="2" t="s">
        <v>65</v>
      </c>
      <c r="AEK18" t="s">
        <v>14</v>
      </c>
      <c r="AEL18" s="5">
        <v>43521</v>
      </c>
      <c r="AEM18" s="2" t="s">
        <v>68</v>
      </c>
      <c r="AEN18" s="7"/>
      <c r="AEO18"/>
      <c r="AEP18"/>
      <c r="AEQ18" s="10">
        <v>-1.01</v>
      </c>
      <c r="AER18" s="2" t="s">
        <v>65</v>
      </c>
      <c r="AES18" t="s">
        <v>14</v>
      </c>
      <c r="AET18" s="5">
        <v>43521</v>
      </c>
      <c r="AEU18" s="2" t="s">
        <v>68</v>
      </c>
      <c r="AEV18" s="7"/>
      <c r="AEW18"/>
      <c r="AEX18"/>
      <c r="AEY18" s="10">
        <v>-1.01</v>
      </c>
      <c r="AEZ18" s="2" t="s">
        <v>65</v>
      </c>
      <c r="AFA18" t="s">
        <v>14</v>
      </c>
      <c r="AFB18" s="5">
        <v>43521</v>
      </c>
      <c r="AFC18" s="2" t="s">
        <v>68</v>
      </c>
      <c r="AFD18" s="7"/>
      <c r="AFE18"/>
      <c r="AFF18"/>
      <c r="AFG18" s="10">
        <v>-1.01</v>
      </c>
      <c r="AFH18" s="2" t="s">
        <v>65</v>
      </c>
      <c r="AFI18" t="s">
        <v>14</v>
      </c>
      <c r="AFJ18" s="5">
        <v>43521</v>
      </c>
      <c r="AFK18" s="2" t="s">
        <v>68</v>
      </c>
      <c r="AFL18" s="7"/>
      <c r="AFM18"/>
      <c r="AFN18"/>
      <c r="AFO18" s="10">
        <v>-1.01</v>
      </c>
      <c r="AFP18" s="2" t="s">
        <v>65</v>
      </c>
      <c r="AFQ18" t="s">
        <v>14</v>
      </c>
      <c r="AFR18" s="5">
        <v>43521</v>
      </c>
      <c r="AFS18" s="2" t="s">
        <v>68</v>
      </c>
      <c r="AFT18" s="7"/>
      <c r="AFU18"/>
      <c r="AFV18"/>
      <c r="AFW18" s="10">
        <v>-1.01</v>
      </c>
      <c r="AFX18" s="2" t="s">
        <v>65</v>
      </c>
      <c r="AFY18" t="s">
        <v>14</v>
      </c>
      <c r="AFZ18" s="5">
        <v>43521</v>
      </c>
      <c r="AGA18" s="2" t="s">
        <v>68</v>
      </c>
      <c r="AGB18" s="7"/>
      <c r="AGC18"/>
      <c r="AGD18"/>
      <c r="AGE18" s="10">
        <v>-1.01</v>
      </c>
      <c r="AGF18" s="2" t="s">
        <v>65</v>
      </c>
      <c r="AGG18" t="s">
        <v>14</v>
      </c>
      <c r="AGH18" s="5">
        <v>43521</v>
      </c>
      <c r="AGI18" s="2" t="s">
        <v>68</v>
      </c>
      <c r="AGJ18" s="7"/>
      <c r="AGK18"/>
      <c r="AGL18"/>
      <c r="AGM18" s="10">
        <v>-1.01</v>
      </c>
      <c r="AGN18" s="2" t="s">
        <v>65</v>
      </c>
      <c r="AGO18" t="s">
        <v>14</v>
      </c>
      <c r="AGP18" s="5">
        <v>43521</v>
      </c>
      <c r="AGQ18" s="2" t="s">
        <v>68</v>
      </c>
      <c r="AGR18" s="7"/>
      <c r="AGS18"/>
      <c r="AGT18"/>
      <c r="AGU18" s="10">
        <v>-1.01</v>
      </c>
      <c r="AGV18" s="2" t="s">
        <v>65</v>
      </c>
      <c r="AGW18" t="s">
        <v>14</v>
      </c>
      <c r="AGX18" s="5">
        <v>43521</v>
      </c>
      <c r="AGY18" s="2" t="s">
        <v>68</v>
      </c>
      <c r="AGZ18" s="7"/>
      <c r="AHA18"/>
      <c r="AHB18"/>
      <c r="AHC18" s="10">
        <v>-1.01</v>
      </c>
      <c r="AHD18" s="2" t="s">
        <v>65</v>
      </c>
      <c r="AHE18" t="s">
        <v>14</v>
      </c>
      <c r="AHF18" s="5">
        <v>43521</v>
      </c>
      <c r="AHG18" s="2" t="s">
        <v>68</v>
      </c>
      <c r="AHH18" s="7"/>
      <c r="AHI18"/>
      <c r="AHJ18"/>
      <c r="AHK18" s="10">
        <v>-1.01</v>
      </c>
      <c r="AHL18" s="2" t="s">
        <v>65</v>
      </c>
      <c r="AHM18" t="s">
        <v>14</v>
      </c>
      <c r="AHN18" s="5">
        <v>43521</v>
      </c>
      <c r="AHO18" s="2" t="s">
        <v>68</v>
      </c>
      <c r="AHP18" s="7"/>
      <c r="AHQ18"/>
      <c r="AHR18"/>
      <c r="AHS18" s="10">
        <v>-1.01</v>
      </c>
      <c r="AHT18" s="2" t="s">
        <v>65</v>
      </c>
      <c r="AHU18" t="s">
        <v>14</v>
      </c>
      <c r="AHV18" s="5">
        <v>43521</v>
      </c>
      <c r="AHW18" s="2" t="s">
        <v>68</v>
      </c>
      <c r="AHX18" s="7"/>
      <c r="AHY18"/>
      <c r="AHZ18"/>
      <c r="AIA18" s="10">
        <v>-1.01</v>
      </c>
      <c r="AIB18" s="2" t="s">
        <v>65</v>
      </c>
      <c r="AIC18" t="s">
        <v>14</v>
      </c>
      <c r="AID18" s="5">
        <v>43521</v>
      </c>
      <c r="AIE18" s="2" t="s">
        <v>68</v>
      </c>
      <c r="AIF18" s="7"/>
      <c r="AIG18"/>
      <c r="AIH18"/>
      <c r="AII18" s="10">
        <v>-1.01</v>
      </c>
      <c r="AIJ18" s="2" t="s">
        <v>65</v>
      </c>
      <c r="AIK18" t="s">
        <v>14</v>
      </c>
      <c r="AIL18" s="5">
        <v>43521</v>
      </c>
      <c r="AIM18" s="2" t="s">
        <v>68</v>
      </c>
      <c r="AIN18" s="7"/>
      <c r="AIO18"/>
      <c r="AIP18"/>
      <c r="AIQ18" s="10">
        <v>-1.01</v>
      </c>
      <c r="AIR18" s="2" t="s">
        <v>65</v>
      </c>
      <c r="AIS18" t="s">
        <v>14</v>
      </c>
      <c r="AIT18" s="5">
        <v>43521</v>
      </c>
      <c r="AIU18" s="2" t="s">
        <v>68</v>
      </c>
      <c r="AIV18" s="7"/>
      <c r="AIW18"/>
      <c r="AIX18"/>
      <c r="AIY18" s="10">
        <v>-1.01</v>
      </c>
      <c r="AIZ18" s="2" t="s">
        <v>65</v>
      </c>
      <c r="AJA18" t="s">
        <v>14</v>
      </c>
      <c r="AJB18" s="5">
        <v>43521</v>
      </c>
      <c r="AJC18" s="2" t="s">
        <v>68</v>
      </c>
      <c r="AJD18" s="7"/>
      <c r="AJE18"/>
      <c r="AJF18"/>
      <c r="AJG18" s="10">
        <v>-1.01</v>
      </c>
      <c r="AJH18" s="2" t="s">
        <v>65</v>
      </c>
      <c r="AJI18" t="s">
        <v>14</v>
      </c>
      <c r="AJJ18" s="5">
        <v>43521</v>
      </c>
      <c r="AJK18" s="2" t="s">
        <v>68</v>
      </c>
      <c r="AJL18" s="7"/>
      <c r="AJM18"/>
      <c r="AJN18"/>
      <c r="AJO18" s="10">
        <v>-1.01</v>
      </c>
      <c r="AJP18" s="2" t="s">
        <v>65</v>
      </c>
      <c r="AJQ18" t="s">
        <v>14</v>
      </c>
      <c r="AJR18" s="5">
        <v>43521</v>
      </c>
      <c r="AJS18" s="2" t="s">
        <v>68</v>
      </c>
      <c r="AJT18" s="7"/>
      <c r="AJU18"/>
      <c r="AJV18"/>
      <c r="AJW18" s="10">
        <v>-1.01</v>
      </c>
      <c r="AJX18" s="2" t="s">
        <v>65</v>
      </c>
      <c r="AJY18" t="s">
        <v>14</v>
      </c>
      <c r="AJZ18" s="5">
        <v>43521</v>
      </c>
      <c r="AKA18" s="2" t="s">
        <v>68</v>
      </c>
      <c r="AKB18" s="7"/>
      <c r="AKC18"/>
      <c r="AKD18"/>
      <c r="AKE18" s="10">
        <v>-1.01</v>
      </c>
      <c r="AKF18" s="2" t="s">
        <v>65</v>
      </c>
      <c r="AKG18" t="s">
        <v>14</v>
      </c>
      <c r="AKH18" s="5">
        <v>43521</v>
      </c>
      <c r="AKI18" s="2" t="s">
        <v>68</v>
      </c>
      <c r="AKJ18" s="7"/>
      <c r="AKK18"/>
      <c r="AKL18"/>
      <c r="AKM18" s="10">
        <v>-1.01</v>
      </c>
      <c r="AKN18" s="2" t="s">
        <v>65</v>
      </c>
      <c r="AKO18" t="s">
        <v>14</v>
      </c>
      <c r="AKP18" s="5">
        <v>43521</v>
      </c>
      <c r="AKQ18" s="2" t="s">
        <v>68</v>
      </c>
      <c r="AKR18" s="7"/>
      <c r="AKS18"/>
      <c r="AKT18"/>
      <c r="AKU18" s="10">
        <v>-1.01</v>
      </c>
      <c r="AKV18" s="2" t="s">
        <v>65</v>
      </c>
      <c r="AKW18" t="s">
        <v>14</v>
      </c>
      <c r="AKX18" s="5">
        <v>43521</v>
      </c>
      <c r="AKY18" s="2" t="s">
        <v>68</v>
      </c>
      <c r="AKZ18" s="7"/>
      <c r="ALA18"/>
      <c r="ALB18"/>
      <c r="ALC18" s="10">
        <v>-1.01</v>
      </c>
      <c r="ALD18" s="2" t="s">
        <v>65</v>
      </c>
      <c r="ALE18" t="s">
        <v>14</v>
      </c>
      <c r="ALF18" s="5">
        <v>43521</v>
      </c>
      <c r="ALG18" s="2" t="s">
        <v>68</v>
      </c>
      <c r="ALH18" s="7"/>
      <c r="ALI18"/>
      <c r="ALJ18"/>
      <c r="ALK18" s="10">
        <v>-1.01</v>
      </c>
      <c r="ALL18" s="2" t="s">
        <v>65</v>
      </c>
      <c r="ALM18" t="s">
        <v>14</v>
      </c>
      <c r="ALN18" s="5">
        <v>43521</v>
      </c>
      <c r="ALO18" s="2" t="s">
        <v>68</v>
      </c>
      <c r="ALP18" s="7"/>
      <c r="ALQ18"/>
      <c r="ALR18"/>
      <c r="ALS18" s="10">
        <v>-1.01</v>
      </c>
      <c r="ALT18" s="2" t="s">
        <v>65</v>
      </c>
      <c r="ALU18" t="s">
        <v>14</v>
      </c>
      <c r="ALV18" s="5">
        <v>43521</v>
      </c>
      <c r="ALW18" s="2" t="s">
        <v>68</v>
      </c>
      <c r="ALX18" s="7"/>
      <c r="ALY18"/>
      <c r="ALZ18"/>
      <c r="AMA18" s="10">
        <v>-1.01</v>
      </c>
      <c r="AMB18" s="2" t="s">
        <v>65</v>
      </c>
      <c r="AMC18" t="s">
        <v>14</v>
      </c>
      <c r="AMD18" s="5">
        <v>43521</v>
      </c>
      <c r="AME18" s="2" t="s">
        <v>68</v>
      </c>
      <c r="AMF18" s="7"/>
      <c r="AMG18"/>
      <c r="AMH18"/>
      <c r="AMI18" s="10">
        <v>-1.01</v>
      </c>
      <c r="AMJ18" s="2" t="s">
        <v>65</v>
      </c>
      <c r="AMK18" t="s">
        <v>14</v>
      </c>
      <c r="AML18" s="5">
        <v>43521</v>
      </c>
      <c r="AMM18" s="2" t="s">
        <v>68</v>
      </c>
      <c r="AMN18" s="7"/>
      <c r="AMO18"/>
      <c r="AMP18"/>
      <c r="AMQ18" s="10">
        <v>-1.01</v>
      </c>
      <c r="AMR18" s="2" t="s">
        <v>65</v>
      </c>
      <c r="AMS18" t="s">
        <v>14</v>
      </c>
      <c r="AMT18" s="5">
        <v>43521</v>
      </c>
      <c r="AMU18" s="2" t="s">
        <v>68</v>
      </c>
      <c r="AMV18" s="7"/>
      <c r="AMW18"/>
      <c r="AMX18"/>
      <c r="AMY18" s="10">
        <v>-1.01</v>
      </c>
      <c r="AMZ18" s="2" t="s">
        <v>65</v>
      </c>
      <c r="ANA18" t="s">
        <v>14</v>
      </c>
      <c r="ANB18" s="5">
        <v>43521</v>
      </c>
      <c r="ANC18" s="2" t="s">
        <v>68</v>
      </c>
      <c r="AND18" s="7"/>
      <c r="ANE18"/>
      <c r="ANF18"/>
      <c r="ANG18" s="10">
        <v>-1.01</v>
      </c>
      <c r="ANH18" s="2" t="s">
        <v>65</v>
      </c>
      <c r="ANI18" t="s">
        <v>14</v>
      </c>
      <c r="ANJ18" s="5">
        <v>43521</v>
      </c>
      <c r="ANK18" s="2" t="s">
        <v>68</v>
      </c>
      <c r="ANL18" s="7"/>
      <c r="ANM18"/>
      <c r="ANN18"/>
      <c r="ANO18" s="10">
        <v>-1.01</v>
      </c>
      <c r="ANP18" s="2" t="s">
        <v>65</v>
      </c>
      <c r="ANQ18" t="s">
        <v>14</v>
      </c>
      <c r="ANR18" s="5">
        <v>43521</v>
      </c>
      <c r="ANS18" s="2" t="s">
        <v>68</v>
      </c>
      <c r="ANT18" s="7"/>
      <c r="ANU18"/>
      <c r="ANV18"/>
      <c r="ANW18" s="10">
        <v>-1.01</v>
      </c>
      <c r="ANX18" s="2" t="s">
        <v>65</v>
      </c>
      <c r="ANY18" t="s">
        <v>14</v>
      </c>
      <c r="ANZ18" s="5">
        <v>43521</v>
      </c>
      <c r="AOA18" s="2" t="s">
        <v>68</v>
      </c>
      <c r="AOB18" s="7"/>
      <c r="AOC18"/>
      <c r="AOD18"/>
      <c r="AOE18" s="10">
        <v>-1.01</v>
      </c>
      <c r="AOF18" s="2" t="s">
        <v>65</v>
      </c>
      <c r="AOG18" t="s">
        <v>14</v>
      </c>
      <c r="AOH18" s="5">
        <v>43521</v>
      </c>
      <c r="AOI18" s="2" t="s">
        <v>68</v>
      </c>
      <c r="AOJ18" s="7"/>
      <c r="AOK18"/>
      <c r="AOL18"/>
      <c r="AOM18" s="10">
        <v>-1.01</v>
      </c>
      <c r="AON18" s="2" t="s">
        <v>65</v>
      </c>
      <c r="AOO18" t="s">
        <v>14</v>
      </c>
      <c r="AOP18" s="5">
        <v>43521</v>
      </c>
      <c r="AOQ18" s="2" t="s">
        <v>68</v>
      </c>
      <c r="AOR18" s="7"/>
      <c r="AOS18"/>
      <c r="AOT18"/>
      <c r="AOU18" s="10">
        <v>-1.01</v>
      </c>
      <c r="AOV18" s="2" t="s">
        <v>65</v>
      </c>
      <c r="AOW18" t="s">
        <v>14</v>
      </c>
      <c r="AOX18" s="5">
        <v>43521</v>
      </c>
      <c r="AOY18" s="2" t="s">
        <v>68</v>
      </c>
      <c r="AOZ18" s="7"/>
      <c r="APA18"/>
      <c r="APB18"/>
      <c r="APC18" s="10">
        <v>-1.01</v>
      </c>
      <c r="APD18" s="2" t="s">
        <v>65</v>
      </c>
      <c r="APE18" t="s">
        <v>14</v>
      </c>
      <c r="APF18" s="5">
        <v>43521</v>
      </c>
      <c r="APG18" s="2" t="s">
        <v>68</v>
      </c>
      <c r="APH18" s="7"/>
      <c r="API18"/>
      <c r="APJ18"/>
      <c r="APK18" s="10">
        <v>-1.01</v>
      </c>
      <c r="APL18" s="2" t="s">
        <v>65</v>
      </c>
      <c r="APM18" t="s">
        <v>14</v>
      </c>
      <c r="APN18" s="5">
        <v>43521</v>
      </c>
      <c r="APO18" s="2" t="s">
        <v>68</v>
      </c>
      <c r="APP18" s="7"/>
      <c r="APQ18"/>
      <c r="APR18"/>
      <c r="APS18" s="10">
        <v>-1.01</v>
      </c>
      <c r="APT18" s="2" t="s">
        <v>65</v>
      </c>
      <c r="APU18" t="s">
        <v>14</v>
      </c>
      <c r="APV18" s="5">
        <v>43521</v>
      </c>
      <c r="APW18" s="2" t="s">
        <v>68</v>
      </c>
      <c r="APX18" s="7"/>
      <c r="APY18"/>
      <c r="APZ18"/>
      <c r="AQA18" s="10">
        <v>-1.01</v>
      </c>
      <c r="AQB18" s="2" t="s">
        <v>65</v>
      </c>
      <c r="AQC18" t="s">
        <v>14</v>
      </c>
      <c r="AQD18" s="5">
        <v>43521</v>
      </c>
      <c r="AQE18" s="2" t="s">
        <v>68</v>
      </c>
      <c r="AQF18" s="7"/>
      <c r="AQG18"/>
      <c r="AQH18"/>
      <c r="AQI18" s="10">
        <v>-1.01</v>
      </c>
      <c r="AQJ18" s="2" t="s">
        <v>65</v>
      </c>
      <c r="AQK18" t="s">
        <v>14</v>
      </c>
      <c r="AQL18" s="5">
        <v>43521</v>
      </c>
      <c r="AQM18" s="2" t="s">
        <v>68</v>
      </c>
      <c r="AQN18" s="7"/>
      <c r="AQO18"/>
      <c r="AQP18"/>
      <c r="AQQ18" s="10">
        <v>-1.01</v>
      </c>
      <c r="AQR18" s="2" t="s">
        <v>65</v>
      </c>
      <c r="AQS18" t="s">
        <v>14</v>
      </c>
      <c r="AQT18" s="5">
        <v>43521</v>
      </c>
      <c r="AQU18" s="2" t="s">
        <v>68</v>
      </c>
      <c r="AQV18" s="7"/>
      <c r="AQW18"/>
      <c r="AQX18"/>
      <c r="AQY18" s="10">
        <v>-1.01</v>
      </c>
      <c r="AQZ18" s="2" t="s">
        <v>65</v>
      </c>
      <c r="ARA18" t="s">
        <v>14</v>
      </c>
      <c r="ARB18" s="5">
        <v>43521</v>
      </c>
      <c r="ARC18" s="2" t="s">
        <v>68</v>
      </c>
      <c r="ARD18" s="7"/>
      <c r="ARE18"/>
      <c r="ARF18"/>
      <c r="ARG18" s="10">
        <v>-1.01</v>
      </c>
      <c r="ARH18" s="2" t="s">
        <v>65</v>
      </c>
      <c r="ARI18" t="s">
        <v>14</v>
      </c>
      <c r="ARJ18" s="5">
        <v>43521</v>
      </c>
      <c r="ARK18" s="2" t="s">
        <v>68</v>
      </c>
      <c r="ARL18" s="7"/>
      <c r="ARM18"/>
      <c r="ARN18"/>
      <c r="ARO18" s="10">
        <v>-1.01</v>
      </c>
      <c r="ARP18" s="2" t="s">
        <v>65</v>
      </c>
      <c r="ARQ18" t="s">
        <v>14</v>
      </c>
      <c r="ARR18" s="5">
        <v>43521</v>
      </c>
      <c r="ARS18" s="2" t="s">
        <v>68</v>
      </c>
      <c r="ART18" s="7"/>
      <c r="ARU18"/>
      <c r="ARV18"/>
      <c r="ARW18" s="10">
        <v>-1.01</v>
      </c>
      <c r="ARX18" s="2" t="s">
        <v>65</v>
      </c>
      <c r="ARY18" t="s">
        <v>14</v>
      </c>
      <c r="ARZ18" s="5">
        <v>43521</v>
      </c>
      <c r="ASA18" s="2" t="s">
        <v>68</v>
      </c>
      <c r="ASB18" s="7"/>
      <c r="ASC18"/>
      <c r="ASD18"/>
      <c r="ASE18" s="10">
        <v>-1.01</v>
      </c>
      <c r="ASF18" s="2" t="s">
        <v>65</v>
      </c>
      <c r="ASG18" t="s">
        <v>14</v>
      </c>
      <c r="ASH18" s="5">
        <v>43521</v>
      </c>
      <c r="ASI18" s="2" t="s">
        <v>68</v>
      </c>
      <c r="ASJ18" s="7"/>
      <c r="ASK18"/>
      <c r="ASL18"/>
      <c r="ASM18" s="10">
        <v>-1.01</v>
      </c>
      <c r="ASN18" s="2" t="s">
        <v>65</v>
      </c>
      <c r="ASO18" t="s">
        <v>14</v>
      </c>
      <c r="ASP18" s="5">
        <v>43521</v>
      </c>
      <c r="ASQ18" s="2" t="s">
        <v>68</v>
      </c>
      <c r="ASR18" s="7"/>
      <c r="ASS18"/>
      <c r="AST18"/>
      <c r="ASU18" s="10">
        <v>-1.01</v>
      </c>
      <c r="ASV18" s="2" t="s">
        <v>65</v>
      </c>
      <c r="ASW18" t="s">
        <v>14</v>
      </c>
      <c r="ASX18" s="5">
        <v>43521</v>
      </c>
      <c r="ASY18" s="2" t="s">
        <v>68</v>
      </c>
      <c r="ASZ18" s="7"/>
      <c r="ATA18"/>
      <c r="ATB18"/>
      <c r="ATC18" s="10">
        <v>-1.01</v>
      </c>
      <c r="ATD18" s="2" t="s">
        <v>65</v>
      </c>
      <c r="ATE18" t="s">
        <v>14</v>
      </c>
      <c r="ATF18" s="5">
        <v>43521</v>
      </c>
      <c r="ATG18" s="2" t="s">
        <v>68</v>
      </c>
      <c r="ATH18" s="7"/>
      <c r="ATI18"/>
      <c r="ATJ18"/>
      <c r="ATK18" s="10">
        <v>-1.01</v>
      </c>
      <c r="ATL18" s="2" t="s">
        <v>65</v>
      </c>
      <c r="ATM18" t="s">
        <v>14</v>
      </c>
      <c r="ATN18" s="5">
        <v>43521</v>
      </c>
      <c r="ATO18" s="2" t="s">
        <v>68</v>
      </c>
      <c r="ATP18" s="7"/>
      <c r="ATQ18"/>
      <c r="ATR18"/>
      <c r="ATS18" s="10">
        <v>-1.01</v>
      </c>
      <c r="ATT18" s="2" t="s">
        <v>65</v>
      </c>
      <c r="ATU18" t="s">
        <v>14</v>
      </c>
      <c r="ATV18" s="5">
        <v>43521</v>
      </c>
      <c r="ATW18" s="2" t="s">
        <v>68</v>
      </c>
      <c r="ATX18" s="7"/>
      <c r="ATY18"/>
      <c r="ATZ18"/>
      <c r="AUA18" s="10">
        <v>-1.01</v>
      </c>
      <c r="AUB18" s="2" t="s">
        <v>65</v>
      </c>
      <c r="AUC18" t="s">
        <v>14</v>
      </c>
      <c r="AUD18" s="5">
        <v>43521</v>
      </c>
      <c r="AUE18" s="2" t="s">
        <v>68</v>
      </c>
      <c r="AUF18" s="7"/>
      <c r="AUG18"/>
      <c r="AUH18"/>
      <c r="AUI18" s="10">
        <v>-1.01</v>
      </c>
      <c r="AUJ18" s="2" t="s">
        <v>65</v>
      </c>
      <c r="AUK18" t="s">
        <v>14</v>
      </c>
      <c r="AUL18" s="5">
        <v>43521</v>
      </c>
      <c r="AUM18" s="2" t="s">
        <v>68</v>
      </c>
      <c r="AUN18" s="7"/>
      <c r="AUO18"/>
      <c r="AUP18"/>
      <c r="AUQ18" s="10">
        <v>-1.01</v>
      </c>
      <c r="AUR18" s="2" t="s">
        <v>65</v>
      </c>
      <c r="AUS18" t="s">
        <v>14</v>
      </c>
      <c r="AUT18" s="5">
        <v>43521</v>
      </c>
      <c r="AUU18" s="2" t="s">
        <v>68</v>
      </c>
      <c r="AUV18" s="7"/>
      <c r="AUW18"/>
      <c r="AUX18"/>
      <c r="AUY18" s="10">
        <v>-1.01</v>
      </c>
      <c r="AUZ18" s="2" t="s">
        <v>65</v>
      </c>
      <c r="AVA18" t="s">
        <v>14</v>
      </c>
      <c r="AVB18" s="5">
        <v>43521</v>
      </c>
      <c r="AVC18" s="2" t="s">
        <v>68</v>
      </c>
      <c r="AVD18" s="7"/>
      <c r="AVE18"/>
      <c r="AVF18"/>
      <c r="AVG18" s="10">
        <v>-1.01</v>
      </c>
      <c r="AVH18" s="2" t="s">
        <v>65</v>
      </c>
      <c r="AVI18" t="s">
        <v>14</v>
      </c>
      <c r="AVJ18" s="5">
        <v>43521</v>
      </c>
      <c r="AVK18" s="2" t="s">
        <v>68</v>
      </c>
      <c r="AVL18" s="7"/>
      <c r="AVM18"/>
      <c r="AVN18"/>
      <c r="AVO18" s="10">
        <v>-1.01</v>
      </c>
      <c r="AVP18" s="2" t="s">
        <v>65</v>
      </c>
      <c r="AVQ18" t="s">
        <v>14</v>
      </c>
      <c r="AVR18" s="5">
        <v>43521</v>
      </c>
      <c r="AVS18" s="2" t="s">
        <v>68</v>
      </c>
      <c r="AVT18" s="7"/>
      <c r="AVU18"/>
      <c r="AVV18"/>
      <c r="AVW18" s="10">
        <v>-1.01</v>
      </c>
      <c r="AVX18" s="2" t="s">
        <v>65</v>
      </c>
      <c r="AVY18" t="s">
        <v>14</v>
      </c>
      <c r="AVZ18" s="5">
        <v>43521</v>
      </c>
      <c r="AWA18" s="2" t="s">
        <v>68</v>
      </c>
      <c r="AWB18" s="7"/>
      <c r="AWC18"/>
      <c r="AWD18"/>
      <c r="AWE18" s="10">
        <v>-1.01</v>
      </c>
      <c r="AWF18" s="2" t="s">
        <v>65</v>
      </c>
      <c r="AWG18" t="s">
        <v>14</v>
      </c>
      <c r="AWH18" s="5">
        <v>43521</v>
      </c>
      <c r="AWI18" s="2" t="s">
        <v>68</v>
      </c>
      <c r="AWJ18" s="7"/>
      <c r="AWK18"/>
      <c r="AWL18"/>
      <c r="AWM18" s="10">
        <v>-1.01</v>
      </c>
      <c r="AWN18" s="2" t="s">
        <v>65</v>
      </c>
      <c r="AWO18" t="s">
        <v>14</v>
      </c>
      <c r="AWP18" s="5">
        <v>43521</v>
      </c>
      <c r="AWQ18" s="2" t="s">
        <v>68</v>
      </c>
      <c r="AWR18" s="7"/>
      <c r="AWS18"/>
      <c r="AWT18"/>
      <c r="AWU18" s="10">
        <v>-1.01</v>
      </c>
      <c r="AWV18" s="2" t="s">
        <v>65</v>
      </c>
      <c r="AWW18" t="s">
        <v>14</v>
      </c>
      <c r="AWX18" s="5">
        <v>43521</v>
      </c>
      <c r="AWY18" s="2" t="s">
        <v>68</v>
      </c>
      <c r="AWZ18" s="7"/>
      <c r="AXA18"/>
      <c r="AXB18"/>
      <c r="AXC18" s="10">
        <v>-1.01</v>
      </c>
      <c r="AXD18" s="2" t="s">
        <v>65</v>
      </c>
      <c r="AXE18" t="s">
        <v>14</v>
      </c>
      <c r="AXF18" s="5">
        <v>43521</v>
      </c>
      <c r="AXG18" s="2" t="s">
        <v>68</v>
      </c>
      <c r="AXH18" s="7"/>
      <c r="AXI18"/>
      <c r="AXJ18"/>
      <c r="AXK18" s="10">
        <v>-1.01</v>
      </c>
      <c r="AXL18" s="2" t="s">
        <v>65</v>
      </c>
      <c r="AXM18" t="s">
        <v>14</v>
      </c>
      <c r="AXN18" s="5">
        <v>43521</v>
      </c>
      <c r="AXO18" s="2" t="s">
        <v>68</v>
      </c>
      <c r="AXP18" s="7"/>
      <c r="AXQ18"/>
      <c r="AXR18"/>
      <c r="AXS18" s="10">
        <v>-1.01</v>
      </c>
      <c r="AXT18" s="2" t="s">
        <v>65</v>
      </c>
      <c r="AXU18" t="s">
        <v>14</v>
      </c>
      <c r="AXV18" s="5">
        <v>43521</v>
      </c>
      <c r="AXW18" s="2" t="s">
        <v>68</v>
      </c>
      <c r="AXX18" s="7"/>
      <c r="AXY18"/>
      <c r="AXZ18"/>
      <c r="AYA18" s="10">
        <v>-1.01</v>
      </c>
      <c r="AYB18" s="2" t="s">
        <v>65</v>
      </c>
      <c r="AYC18" t="s">
        <v>14</v>
      </c>
      <c r="AYD18" s="5">
        <v>43521</v>
      </c>
      <c r="AYE18" s="2" t="s">
        <v>68</v>
      </c>
      <c r="AYF18" s="7"/>
      <c r="AYG18"/>
      <c r="AYH18"/>
      <c r="AYI18" s="10">
        <v>-1.01</v>
      </c>
      <c r="AYJ18" s="2" t="s">
        <v>65</v>
      </c>
      <c r="AYK18" t="s">
        <v>14</v>
      </c>
      <c r="AYL18" s="5">
        <v>43521</v>
      </c>
      <c r="AYM18" s="2" t="s">
        <v>68</v>
      </c>
      <c r="AYN18" s="7"/>
      <c r="AYO18"/>
      <c r="AYP18"/>
      <c r="AYQ18" s="10">
        <v>-1.01</v>
      </c>
      <c r="AYR18" s="2" t="s">
        <v>65</v>
      </c>
      <c r="AYS18" t="s">
        <v>14</v>
      </c>
      <c r="AYT18" s="5">
        <v>43521</v>
      </c>
      <c r="AYU18" s="2" t="s">
        <v>68</v>
      </c>
      <c r="AYV18" s="7"/>
      <c r="AYW18"/>
      <c r="AYX18"/>
      <c r="AYY18" s="10">
        <v>-1.01</v>
      </c>
      <c r="AYZ18" s="2" t="s">
        <v>65</v>
      </c>
      <c r="AZA18" t="s">
        <v>14</v>
      </c>
      <c r="AZB18" s="5">
        <v>43521</v>
      </c>
      <c r="AZC18" s="2" t="s">
        <v>68</v>
      </c>
      <c r="AZD18" s="7"/>
      <c r="AZE18"/>
      <c r="AZF18"/>
      <c r="AZG18" s="10">
        <v>-1.01</v>
      </c>
      <c r="AZH18" s="2" t="s">
        <v>65</v>
      </c>
      <c r="AZI18" t="s">
        <v>14</v>
      </c>
      <c r="AZJ18" s="5">
        <v>43521</v>
      </c>
      <c r="AZK18" s="2" t="s">
        <v>68</v>
      </c>
      <c r="AZL18" s="7"/>
      <c r="AZM18"/>
      <c r="AZN18"/>
      <c r="AZO18" s="10">
        <v>-1.01</v>
      </c>
      <c r="AZP18" s="2" t="s">
        <v>65</v>
      </c>
      <c r="AZQ18" t="s">
        <v>14</v>
      </c>
      <c r="AZR18" s="5">
        <v>43521</v>
      </c>
      <c r="AZS18" s="2" t="s">
        <v>68</v>
      </c>
      <c r="AZT18" s="7"/>
      <c r="AZU18"/>
      <c r="AZV18"/>
      <c r="AZW18" s="10">
        <v>-1.01</v>
      </c>
      <c r="AZX18" s="2" t="s">
        <v>65</v>
      </c>
      <c r="AZY18" t="s">
        <v>14</v>
      </c>
      <c r="AZZ18" s="5">
        <v>43521</v>
      </c>
      <c r="BAA18" s="2" t="s">
        <v>68</v>
      </c>
      <c r="BAB18" s="7"/>
      <c r="BAC18"/>
      <c r="BAD18"/>
      <c r="BAE18" s="10">
        <v>-1.01</v>
      </c>
      <c r="BAF18" s="2" t="s">
        <v>65</v>
      </c>
      <c r="BAG18" t="s">
        <v>14</v>
      </c>
      <c r="BAH18" s="5">
        <v>43521</v>
      </c>
      <c r="BAI18" s="2" t="s">
        <v>68</v>
      </c>
      <c r="BAJ18" s="7"/>
      <c r="BAK18"/>
      <c r="BAL18"/>
      <c r="BAM18" s="10">
        <v>-1.01</v>
      </c>
      <c r="BAN18" s="2" t="s">
        <v>65</v>
      </c>
      <c r="BAO18" t="s">
        <v>14</v>
      </c>
      <c r="BAP18" s="5">
        <v>43521</v>
      </c>
      <c r="BAQ18" s="2" t="s">
        <v>68</v>
      </c>
      <c r="BAR18" s="7"/>
      <c r="BAS18"/>
      <c r="BAT18"/>
      <c r="BAU18" s="10">
        <v>-1.01</v>
      </c>
      <c r="BAV18" s="2" t="s">
        <v>65</v>
      </c>
      <c r="BAW18" t="s">
        <v>14</v>
      </c>
      <c r="BAX18" s="5">
        <v>43521</v>
      </c>
      <c r="BAY18" s="2" t="s">
        <v>68</v>
      </c>
      <c r="BAZ18" s="7"/>
      <c r="BBA18"/>
      <c r="BBB18"/>
      <c r="BBC18" s="10">
        <v>-1.01</v>
      </c>
      <c r="BBD18" s="2" t="s">
        <v>65</v>
      </c>
      <c r="BBE18" t="s">
        <v>14</v>
      </c>
      <c r="BBF18" s="5">
        <v>43521</v>
      </c>
      <c r="BBG18" s="2" t="s">
        <v>68</v>
      </c>
      <c r="BBH18" s="7"/>
      <c r="BBI18"/>
      <c r="BBJ18"/>
      <c r="BBK18" s="10">
        <v>-1.01</v>
      </c>
      <c r="BBL18" s="2" t="s">
        <v>65</v>
      </c>
      <c r="BBM18" t="s">
        <v>14</v>
      </c>
      <c r="BBN18" s="5">
        <v>43521</v>
      </c>
      <c r="BBO18" s="2" t="s">
        <v>68</v>
      </c>
      <c r="BBP18" s="7"/>
      <c r="BBQ18"/>
      <c r="BBR18"/>
      <c r="BBS18" s="10">
        <v>-1.01</v>
      </c>
      <c r="BBT18" s="2" t="s">
        <v>65</v>
      </c>
      <c r="BBU18" t="s">
        <v>14</v>
      </c>
      <c r="BBV18" s="5">
        <v>43521</v>
      </c>
      <c r="BBW18" s="2" t="s">
        <v>68</v>
      </c>
      <c r="BBX18" s="7"/>
      <c r="BBY18"/>
      <c r="BBZ18"/>
      <c r="BCA18" s="10">
        <v>-1.01</v>
      </c>
      <c r="BCB18" s="2" t="s">
        <v>65</v>
      </c>
      <c r="BCC18" t="s">
        <v>14</v>
      </c>
      <c r="BCD18" s="5">
        <v>43521</v>
      </c>
      <c r="BCE18" s="2" t="s">
        <v>68</v>
      </c>
      <c r="BCF18" s="7"/>
      <c r="BCG18"/>
      <c r="BCH18"/>
      <c r="BCI18" s="10">
        <v>-1.01</v>
      </c>
      <c r="BCJ18" s="2" t="s">
        <v>65</v>
      </c>
      <c r="BCK18" t="s">
        <v>14</v>
      </c>
      <c r="BCL18" s="5">
        <v>43521</v>
      </c>
      <c r="BCM18" s="2" t="s">
        <v>68</v>
      </c>
      <c r="BCN18" s="7"/>
      <c r="BCO18"/>
      <c r="BCP18"/>
      <c r="BCQ18" s="10">
        <v>-1.01</v>
      </c>
      <c r="BCR18" s="2" t="s">
        <v>65</v>
      </c>
      <c r="BCS18" t="s">
        <v>14</v>
      </c>
      <c r="BCT18" s="5">
        <v>43521</v>
      </c>
      <c r="BCU18" s="2" t="s">
        <v>68</v>
      </c>
      <c r="BCV18" s="7"/>
      <c r="BCW18"/>
      <c r="BCX18"/>
      <c r="BCY18" s="10">
        <v>-1.01</v>
      </c>
      <c r="BCZ18" s="2" t="s">
        <v>65</v>
      </c>
      <c r="BDA18" t="s">
        <v>14</v>
      </c>
      <c r="BDB18" s="5">
        <v>43521</v>
      </c>
      <c r="BDC18" s="2" t="s">
        <v>68</v>
      </c>
      <c r="BDD18" s="7"/>
      <c r="BDE18"/>
      <c r="BDF18"/>
      <c r="BDG18" s="10">
        <v>-1.01</v>
      </c>
      <c r="BDH18" s="2" t="s">
        <v>65</v>
      </c>
      <c r="BDI18" t="s">
        <v>14</v>
      </c>
      <c r="BDJ18" s="5">
        <v>43521</v>
      </c>
      <c r="BDK18" s="2" t="s">
        <v>68</v>
      </c>
      <c r="BDL18" s="7"/>
      <c r="BDM18"/>
      <c r="BDN18"/>
      <c r="BDO18" s="10">
        <v>-1.01</v>
      </c>
      <c r="BDP18" s="2" t="s">
        <v>65</v>
      </c>
      <c r="BDQ18" t="s">
        <v>14</v>
      </c>
      <c r="BDR18" s="5">
        <v>43521</v>
      </c>
      <c r="BDS18" s="2" t="s">
        <v>68</v>
      </c>
      <c r="BDT18" s="7"/>
      <c r="BDU18"/>
      <c r="BDV18"/>
      <c r="BDW18" s="10">
        <v>-1.01</v>
      </c>
      <c r="BDX18" s="2" t="s">
        <v>65</v>
      </c>
      <c r="BDY18" t="s">
        <v>14</v>
      </c>
      <c r="BDZ18" s="5">
        <v>43521</v>
      </c>
      <c r="BEA18" s="2" t="s">
        <v>68</v>
      </c>
      <c r="BEB18" s="7"/>
      <c r="BEC18"/>
      <c r="BED18"/>
      <c r="BEE18" s="10">
        <v>-1.01</v>
      </c>
      <c r="BEF18" s="2" t="s">
        <v>65</v>
      </c>
      <c r="BEG18" t="s">
        <v>14</v>
      </c>
      <c r="BEH18" s="5">
        <v>43521</v>
      </c>
      <c r="BEI18" s="2" t="s">
        <v>68</v>
      </c>
      <c r="BEJ18" s="7"/>
      <c r="BEK18"/>
      <c r="BEL18"/>
      <c r="BEM18" s="10">
        <v>-1.01</v>
      </c>
      <c r="BEN18" s="2" t="s">
        <v>65</v>
      </c>
      <c r="BEO18" t="s">
        <v>14</v>
      </c>
      <c r="BEP18" s="5">
        <v>43521</v>
      </c>
      <c r="BEQ18" s="2" t="s">
        <v>68</v>
      </c>
      <c r="BER18" s="7"/>
      <c r="BES18"/>
      <c r="BET18"/>
      <c r="BEU18" s="10">
        <v>-1.01</v>
      </c>
      <c r="BEV18" s="2" t="s">
        <v>65</v>
      </c>
      <c r="BEW18" t="s">
        <v>14</v>
      </c>
      <c r="BEX18" s="5">
        <v>43521</v>
      </c>
      <c r="BEY18" s="2" t="s">
        <v>68</v>
      </c>
      <c r="BEZ18" s="7"/>
      <c r="BFA18"/>
      <c r="BFB18"/>
      <c r="BFC18" s="10">
        <v>-1.01</v>
      </c>
      <c r="BFD18" s="2" t="s">
        <v>65</v>
      </c>
      <c r="BFE18" t="s">
        <v>14</v>
      </c>
      <c r="BFF18" s="5">
        <v>43521</v>
      </c>
      <c r="BFG18" s="2" t="s">
        <v>68</v>
      </c>
      <c r="BFH18" s="7"/>
      <c r="BFI18"/>
      <c r="BFJ18"/>
      <c r="BFK18" s="10">
        <v>-1.01</v>
      </c>
      <c r="BFL18" s="2" t="s">
        <v>65</v>
      </c>
      <c r="BFM18" t="s">
        <v>14</v>
      </c>
      <c r="BFN18" s="5">
        <v>43521</v>
      </c>
      <c r="BFO18" s="2" t="s">
        <v>68</v>
      </c>
      <c r="BFP18" s="7"/>
      <c r="BFQ18"/>
      <c r="BFR18"/>
      <c r="BFS18" s="10">
        <v>-1.01</v>
      </c>
      <c r="BFT18" s="2" t="s">
        <v>65</v>
      </c>
      <c r="BFU18" t="s">
        <v>14</v>
      </c>
      <c r="BFV18" s="5">
        <v>43521</v>
      </c>
      <c r="BFW18" s="2" t="s">
        <v>68</v>
      </c>
      <c r="BFX18" s="7"/>
      <c r="BFY18"/>
      <c r="BFZ18"/>
      <c r="BGA18" s="10">
        <v>-1.01</v>
      </c>
      <c r="BGB18" s="2" t="s">
        <v>65</v>
      </c>
      <c r="BGC18" t="s">
        <v>14</v>
      </c>
      <c r="BGD18" s="5">
        <v>43521</v>
      </c>
      <c r="BGE18" s="2" t="s">
        <v>68</v>
      </c>
      <c r="BGF18" s="7"/>
      <c r="BGG18"/>
      <c r="BGH18"/>
      <c r="BGI18" s="10">
        <v>-1.01</v>
      </c>
      <c r="BGJ18" s="2" t="s">
        <v>65</v>
      </c>
      <c r="BGK18" t="s">
        <v>14</v>
      </c>
      <c r="BGL18" s="5">
        <v>43521</v>
      </c>
      <c r="BGM18" s="2" t="s">
        <v>68</v>
      </c>
      <c r="BGN18" s="7"/>
      <c r="BGO18"/>
      <c r="BGP18"/>
      <c r="BGQ18" s="10">
        <v>-1.01</v>
      </c>
      <c r="BGR18" s="2" t="s">
        <v>65</v>
      </c>
      <c r="BGS18" t="s">
        <v>14</v>
      </c>
      <c r="BGT18" s="5">
        <v>43521</v>
      </c>
      <c r="BGU18" s="2" t="s">
        <v>68</v>
      </c>
      <c r="BGV18" s="7"/>
      <c r="BGW18"/>
      <c r="BGX18"/>
      <c r="BGY18" s="10">
        <v>-1.01</v>
      </c>
      <c r="BGZ18" s="2" t="s">
        <v>65</v>
      </c>
      <c r="BHA18" t="s">
        <v>14</v>
      </c>
      <c r="BHB18" s="5">
        <v>43521</v>
      </c>
      <c r="BHC18" s="2" t="s">
        <v>68</v>
      </c>
      <c r="BHD18" s="7"/>
      <c r="BHE18"/>
      <c r="BHF18"/>
      <c r="BHG18" s="10">
        <v>-1.01</v>
      </c>
      <c r="BHH18" s="2" t="s">
        <v>65</v>
      </c>
      <c r="BHI18" t="s">
        <v>14</v>
      </c>
      <c r="BHJ18" s="5">
        <v>43521</v>
      </c>
      <c r="BHK18" s="2" t="s">
        <v>68</v>
      </c>
      <c r="BHL18" s="7"/>
      <c r="BHM18"/>
      <c r="BHN18"/>
      <c r="BHO18" s="10">
        <v>-1.01</v>
      </c>
      <c r="BHP18" s="2" t="s">
        <v>65</v>
      </c>
      <c r="BHQ18" t="s">
        <v>14</v>
      </c>
      <c r="BHR18" s="5">
        <v>43521</v>
      </c>
      <c r="BHS18" s="2" t="s">
        <v>68</v>
      </c>
      <c r="BHT18" s="7"/>
      <c r="BHU18"/>
      <c r="BHV18"/>
      <c r="BHW18" s="10">
        <v>-1.01</v>
      </c>
      <c r="BHX18" s="2" t="s">
        <v>65</v>
      </c>
      <c r="BHY18" t="s">
        <v>14</v>
      </c>
      <c r="BHZ18" s="5">
        <v>43521</v>
      </c>
      <c r="BIA18" s="2" t="s">
        <v>68</v>
      </c>
      <c r="BIB18" s="7"/>
      <c r="BIC18"/>
      <c r="BID18"/>
      <c r="BIE18" s="10">
        <v>-1.01</v>
      </c>
      <c r="BIF18" s="2" t="s">
        <v>65</v>
      </c>
      <c r="BIG18" t="s">
        <v>14</v>
      </c>
      <c r="BIH18" s="5">
        <v>43521</v>
      </c>
      <c r="BII18" s="2" t="s">
        <v>68</v>
      </c>
      <c r="BIJ18" s="7"/>
      <c r="BIK18"/>
      <c r="BIL18"/>
      <c r="BIM18" s="10">
        <v>-1.01</v>
      </c>
      <c r="BIN18" s="2" t="s">
        <v>65</v>
      </c>
      <c r="BIO18" t="s">
        <v>14</v>
      </c>
      <c r="BIP18" s="5">
        <v>43521</v>
      </c>
      <c r="BIQ18" s="2" t="s">
        <v>68</v>
      </c>
      <c r="BIR18" s="7"/>
      <c r="BIS18"/>
      <c r="BIT18"/>
      <c r="BIU18" s="10">
        <v>-1.01</v>
      </c>
      <c r="BIV18" s="2" t="s">
        <v>65</v>
      </c>
      <c r="BIW18" t="s">
        <v>14</v>
      </c>
      <c r="BIX18" s="5">
        <v>43521</v>
      </c>
      <c r="BIY18" s="2" t="s">
        <v>68</v>
      </c>
      <c r="BIZ18" s="7"/>
      <c r="BJA18"/>
      <c r="BJB18"/>
      <c r="BJC18" s="10">
        <v>-1.01</v>
      </c>
      <c r="BJD18" s="2" t="s">
        <v>65</v>
      </c>
      <c r="BJE18" t="s">
        <v>14</v>
      </c>
      <c r="BJF18" s="5">
        <v>43521</v>
      </c>
      <c r="BJG18" s="2" t="s">
        <v>68</v>
      </c>
      <c r="BJH18" s="7"/>
      <c r="BJI18"/>
      <c r="BJJ18"/>
      <c r="BJK18" s="10">
        <v>-1.01</v>
      </c>
      <c r="BJL18" s="2" t="s">
        <v>65</v>
      </c>
      <c r="BJM18" t="s">
        <v>14</v>
      </c>
      <c r="BJN18" s="5">
        <v>43521</v>
      </c>
      <c r="BJO18" s="2" t="s">
        <v>68</v>
      </c>
      <c r="BJP18" s="7"/>
      <c r="BJQ18"/>
      <c r="BJR18"/>
      <c r="BJS18" s="10">
        <v>-1.01</v>
      </c>
      <c r="BJT18" s="2" t="s">
        <v>65</v>
      </c>
      <c r="BJU18" t="s">
        <v>14</v>
      </c>
      <c r="BJV18" s="5">
        <v>43521</v>
      </c>
      <c r="BJW18" s="2" t="s">
        <v>68</v>
      </c>
      <c r="BJX18" s="7"/>
      <c r="BJY18"/>
      <c r="BJZ18"/>
      <c r="BKA18" s="10">
        <v>-1.01</v>
      </c>
      <c r="BKB18" s="2" t="s">
        <v>65</v>
      </c>
      <c r="BKC18" t="s">
        <v>14</v>
      </c>
      <c r="BKD18" s="5">
        <v>43521</v>
      </c>
      <c r="BKE18" s="2" t="s">
        <v>68</v>
      </c>
      <c r="BKF18" s="7"/>
      <c r="BKG18"/>
      <c r="BKH18"/>
      <c r="BKI18" s="10">
        <v>-1.01</v>
      </c>
      <c r="BKJ18" s="2" t="s">
        <v>65</v>
      </c>
      <c r="BKK18" t="s">
        <v>14</v>
      </c>
      <c r="BKL18" s="5">
        <v>43521</v>
      </c>
      <c r="BKM18" s="2" t="s">
        <v>68</v>
      </c>
      <c r="BKN18" s="7"/>
      <c r="BKO18"/>
      <c r="BKP18"/>
      <c r="BKQ18" s="10">
        <v>-1.01</v>
      </c>
      <c r="BKR18" s="2" t="s">
        <v>65</v>
      </c>
      <c r="BKS18" t="s">
        <v>14</v>
      </c>
      <c r="BKT18" s="5">
        <v>43521</v>
      </c>
      <c r="BKU18" s="2" t="s">
        <v>68</v>
      </c>
      <c r="BKV18" s="7"/>
      <c r="BKW18"/>
      <c r="BKX18"/>
      <c r="BKY18" s="10">
        <v>-1.01</v>
      </c>
      <c r="BKZ18" s="2" t="s">
        <v>65</v>
      </c>
      <c r="BLA18" t="s">
        <v>14</v>
      </c>
      <c r="BLB18" s="5">
        <v>43521</v>
      </c>
      <c r="BLC18" s="2" t="s">
        <v>68</v>
      </c>
      <c r="BLD18" s="7"/>
      <c r="BLE18"/>
      <c r="BLF18"/>
      <c r="BLG18" s="10">
        <v>-1.01</v>
      </c>
      <c r="BLH18" s="2" t="s">
        <v>65</v>
      </c>
      <c r="BLI18" t="s">
        <v>14</v>
      </c>
      <c r="BLJ18" s="5">
        <v>43521</v>
      </c>
      <c r="BLK18" s="2" t="s">
        <v>68</v>
      </c>
      <c r="BLL18" s="7"/>
      <c r="BLM18"/>
      <c r="BLN18"/>
      <c r="BLO18" s="10">
        <v>-1.01</v>
      </c>
      <c r="BLP18" s="2" t="s">
        <v>65</v>
      </c>
      <c r="BLQ18" t="s">
        <v>14</v>
      </c>
      <c r="BLR18" s="5">
        <v>43521</v>
      </c>
      <c r="BLS18" s="2" t="s">
        <v>68</v>
      </c>
      <c r="BLT18" s="7"/>
      <c r="BLU18"/>
      <c r="BLV18"/>
      <c r="BLW18" s="10">
        <v>-1.01</v>
      </c>
      <c r="BLX18" s="2" t="s">
        <v>65</v>
      </c>
      <c r="BLY18" t="s">
        <v>14</v>
      </c>
      <c r="BLZ18" s="5">
        <v>43521</v>
      </c>
      <c r="BMA18" s="2" t="s">
        <v>68</v>
      </c>
      <c r="BMB18" s="7"/>
      <c r="BMC18"/>
      <c r="BMD18"/>
      <c r="BME18" s="10">
        <v>-1.01</v>
      </c>
      <c r="BMF18" s="2" t="s">
        <v>65</v>
      </c>
      <c r="BMG18" t="s">
        <v>14</v>
      </c>
      <c r="BMH18" s="5">
        <v>43521</v>
      </c>
      <c r="BMI18" s="2" t="s">
        <v>68</v>
      </c>
      <c r="BMJ18" s="7"/>
      <c r="BMK18"/>
      <c r="BML18"/>
      <c r="BMM18" s="10">
        <v>-1.01</v>
      </c>
      <c r="BMN18" s="2" t="s">
        <v>65</v>
      </c>
      <c r="BMO18" t="s">
        <v>14</v>
      </c>
      <c r="BMP18" s="5">
        <v>43521</v>
      </c>
      <c r="BMQ18" s="2" t="s">
        <v>68</v>
      </c>
      <c r="BMR18" s="7"/>
      <c r="BMS18"/>
      <c r="BMT18"/>
      <c r="BMU18" s="10">
        <v>-1.01</v>
      </c>
      <c r="BMV18" s="2" t="s">
        <v>65</v>
      </c>
      <c r="BMW18" t="s">
        <v>14</v>
      </c>
      <c r="BMX18" s="5">
        <v>43521</v>
      </c>
      <c r="BMY18" s="2" t="s">
        <v>68</v>
      </c>
      <c r="BMZ18" s="7"/>
      <c r="BNA18"/>
      <c r="BNB18"/>
      <c r="BNC18" s="10">
        <v>-1.01</v>
      </c>
      <c r="BND18" s="2" t="s">
        <v>65</v>
      </c>
      <c r="BNE18" t="s">
        <v>14</v>
      </c>
      <c r="BNF18" s="5">
        <v>43521</v>
      </c>
      <c r="BNG18" s="2" t="s">
        <v>68</v>
      </c>
      <c r="BNH18" s="7"/>
      <c r="BNI18"/>
      <c r="BNJ18"/>
      <c r="BNK18" s="10">
        <v>-1.01</v>
      </c>
      <c r="BNL18" s="2" t="s">
        <v>65</v>
      </c>
      <c r="BNM18" t="s">
        <v>14</v>
      </c>
      <c r="BNN18" s="5">
        <v>43521</v>
      </c>
      <c r="BNO18" s="2" t="s">
        <v>68</v>
      </c>
      <c r="BNP18" s="7"/>
      <c r="BNQ18"/>
      <c r="BNR18"/>
      <c r="BNS18" s="10">
        <v>-1.01</v>
      </c>
      <c r="BNT18" s="2" t="s">
        <v>65</v>
      </c>
      <c r="BNU18" t="s">
        <v>14</v>
      </c>
      <c r="BNV18" s="5">
        <v>43521</v>
      </c>
      <c r="BNW18" s="2" t="s">
        <v>68</v>
      </c>
      <c r="BNX18" s="7"/>
      <c r="BNY18"/>
      <c r="BNZ18"/>
      <c r="BOA18" s="10">
        <v>-1.01</v>
      </c>
      <c r="BOB18" s="2" t="s">
        <v>65</v>
      </c>
      <c r="BOC18" t="s">
        <v>14</v>
      </c>
      <c r="BOD18" s="5">
        <v>43521</v>
      </c>
      <c r="BOE18" s="2" t="s">
        <v>68</v>
      </c>
      <c r="BOF18" s="7"/>
      <c r="BOG18"/>
      <c r="BOH18"/>
      <c r="BOI18" s="10">
        <v>-1.01</v>
      </c>
      <c r="BOJ18" s="2" t="s">
        <v>65</v>
      </c>
      <c r="BOK18" t="s">
        <v>14</v>
      </c>
      <c r="BOL18" s="5">
        <v>43521</v>
      </c>
      <c r="BOM18" s="2" t="s">
        <v>68</v>
      </c>
      <c r="BON18" s="7"/>
      <c r="BOO18"/>
      <c r="BOP18"/>
      <c r="BOQ18" s="10">
        <v>-1.01</v>
      </c>
      <c r="BOR18" s="2" t="s">
        <v>65</v>
      </c>
      <c r="BOS18" t="s">
        <v>14</v>
      </c>
      <c r="BOT18" s="5">
        <v>43521</v>
      </c>
      <c r="BOU18" s="2" t="s">
        <v>68</v>
      </c>
      <c r="BOV18" s="7"/>
      <c r="BOW18"/>
      <c r="BOX18"/>
      <c r="BOY18" s="10">
        <v>-1.01</v>
      </c>
      <c r="BOZ18" s="2" t="s">
        <v>65</v>
      </c>
      <c r="BPA18" t="s">
        <v>14</v>
      </c>
      <c r="BPB18" s="5">
        <v>43521</v>
      </c>
      <c r="BPC18" s="2" t="s">
        <v>68</v>
      </c>
      <c r="BPD18" s="7"/>
      <c r="BPE18"/>
      <c r="BPF18"/>
      <c r="BPG18" s="10">
        <v>-1.01</v>
      </c>
      <c r="BPH18" s="2" t="s">
        <v>65</v>
      </c>
      <c r="BPI18" t="s">
        <v>14</v>
      </c>
      <c r="BPJ18" s="5">
        <v>43521</v>
      </c>
      <c r="BPK18" s="2" t="s">
        <v>68</v>
      </c>
      <c r="BPL18" s="7"/>
      <c r="BPM18"/>
      <c r="BPN18"/>
      <c r="BPO18" s="10">
        <v>-1.01</v>
      </c>
      <c r="BPP18" s="2" t="s">
        <v>65</v>
      </c>
      <c r="BPQ18" t="s">
        <v>14</v>
      </c>
      <c r="BPR18" s="5">
        <v>43521</v>
      </c>
      <c r="BPS18" s="2" t="s">
        <v>68</v>
      </c>
      <c r="BPT18" s="7"/>
      <c r="BPU18"/>
      <c r="BPV18"/>
      <c r="BPW18" s="10">
        <v>-1.01</v>
      </c>
      <c r="BPX18" s="2" t="s">
        <v>65</v>
      </c>
      <c r="BPY18" t="s">
        <v>14</v>
      </c>
      <c r="BPZ18" s="5">
        <v>43521</v>
      </c>
      <c r="BQA18" s="2" t="s">
        <v>68</v>
      </c>
      <c r="BQB18" s="7"/>
      <c r="BQC18"/>
      <c r="BQD18"/>
      <c r="BQE18" s="10">
        <v>-1.01</v>
      </c>
      <c r="BQF18" s="2" t="s">
        <v>65</v>
      </c>
      <c r="BQG18" t="s">
        <v>14</v>
      </c>
      <c r="BQH18" s="5">
        <v>43521</v>
      </c>
      <c r="BQI18" s="2" t="s">
        <v>68</v>
      </c>
      <c r="BQJ18" s="7"/>
      <c r="BQK18"/>
      <c r="BQL18"/>
      <c r="BQM18" s="10">
        <v>-1.01</v>
      </c>
      <c r="BQN18" s="2" t="s">
        <v>65</v>
      </c>
      <c r="BQO18" t="s">
        <v>14</v>
      </c>
      <c r="BQP18" s="5">
        <v>43521</v>
      </c>
      <c r="BQQ18" s="2" t="s">
        <v>68</v>
      </c>
      <c r="BQR18" s="7"/>
      <c r="BQS18"/>
      <c r="BQT18"/>
      <c r="BQU18" s="10">
        <v>-1.01</v>
      </c>
      <c r="BQV18" s="2" t="s">
        <v>65</v>
      </c>
      <c r="BQW18" t="s">
        <v>14</v>
      </c>
      <c r="BQX18" s="5">
        <v>43521</v>
      </c>
      <c r="BQY18" s="2" t="s">
        <v>68</v>
      </c>
      <c r="BQZ18" s="7"/>
      <c r="BRA18"/>
      <c r="BRB18"/>
      <c r="BRC18" s="10">
        <v>-1.01</v>
      </c>
      <c r="BRD18" s="2" t="s">
        <v>65</v>
      </c>
      <c r="BRE18" t="s">
        <v>14</v>
      </c>
      <c r="BRF18" s="5">
        <v>43521</v>
      </c>
      <c r="BRG18" s="2" t="s">
        <v>68</v>
      </c>
      <c r="BRH18" s="7"/>
      <c r="BRI18"/>
      <c r="BRJ18"/>
      <c r="BRK18" s="10">
        <v>-1.01</v>
      </c>
      <c r="BRL18" s="2" t="s">
        <v>65</v>
      </c>
      <c r="BRM18" t="s">
        <v>14</v>
      </c>
      <c r="BRN18" s="5">
        <v>43521</v>
      </c>
      <c r="BRO18" s="2" t="s">
        <v>68</v>
      </c>
      <c r="BRP18" s="7"/>
      <c r="BRQ18"/>
      <c r="BRR18"/>
      <c r="BRS18" s="10">
        <v>-1.01</v>
      </c>
      <c r="BRT18" s="2" t="s">
        <v>65</v>
      </c>
      <c r="BRU18" t="s">
        <v>14</v>
      </c>
      <c r="BRV18" s="5">
        <v>43521</v>
      </c>
      <c r="BRW18" s="2" t="s">
        <v>68</v>
      </c>
      <c r="BRX18" s="7"/>
      <c r="BRY18"/>
      <c r="BRZ18"/>
      <c r="BSA18" s="10">
        <v>-1.01</v>
      </c>
      <c r="BSB18" s="2" t="s">
        <v>65</v>
      </c>
      <c r="BSC18" t="s">
        <v>14</v>
      </c>
      <c r="BSD18" s="5">
        <v>43521</v>
      </c>
      <c r="BSE18" s="2" t="s">
        <v>68</v>
      </c>
      <c r="BSF18" s="7"/>
      <c r="BSG18"/>
      <c r="BSH18"/>
      <c r="BSI18" s="10">
        <v>-1.01</v>
      </c>
      <c r="BSJ18" s="2" t="s">
        <v>65</v>
      </c>
      <c r="BSK18" t="s">
        <v>14</v>
      </c>
      <c r="BSL18" s="5">
        <v>43521</v>
      </c>
      <c r="BSM18" s="2" t="s">
        <v>68</v>
      </c>
      <c r="BSN18" s="7"/>
      <c r="BSO18"/>
      <c r="BSP18"/>
      <c r="BSQ18" s="10">
        <v>-1.01</v>
      </c>
      <c r="BSR18" s="2" t="s">
        <v>65</v>
      </c>
      <c r="BSS18" t="s">
        <v>14</v>
      </c>
      <c r="BST18" s="5">
        <v>43521</v>
      </c>
      <c r="BSU18" s="2" t="s">
        <v>68</v>
      </c>
      <c r="BSV18" s="7"/>
      <c r="BSW18"/>
      <c r="BSX18"/>
      <c r="BSY18" s="10">
        <v>-1.01</v>
      </c>
      <c r="BSZ18" s="2" t="s">
        <v>65</v>
      </c>
      <c r="BTA18" t="s">
        <v>14</v>
      </c>
      <c r="BTB18" s="5">
        <v>43521</v>
      </c>
      <c r="BTC18" s="2" t="s">
        <v>68</v>
      </c>
      <c r="BTD18" s="7"/>
      <c r="BTE18"/>
      <c r="BTF18"/>
      <c r="BTG18" s="10">
        <v>-1.01</v>
      </c>
      <c r="BTH18" s="2" t="s">
        <v>65</v>
      </c>
      <c r="BTI18" t="s">
        <v>14</v>
      </c>
      <c r="BTJ18" s="5">
        <v>43521</v>
      </c>
      <c r="BTK18" s="2" t="s">
        <v>68</v>
      </c>
      <c r="BTL18" s="7"/>
      <c r="BTM18"/>
      <c r="BTN18"/>
      <c r="BTO18" s="10">
        <v>-1.01</v>
      </c>
      <c r="BTP18" s="2" t="s">
        <v>65</v>
      </c>
      <c r="BTQ18" t="s">
        <v>14</v>
      </c>
      <c r="BTR18" s="5">
        <v>43521</v>
      </c>
      <c r="BTS18" s="2" t="s">
        <v>68</v>
      </c>
      <c r="BTT18" s="7"/>
      <c r="BTU18"/>
      <c r="BTV18"/>
      <c r="BTW18" s="10">
        <v>-1.01</v>
      </c>
      <c r="BTX18" s="2" t="s">
        <v>65</v>
      </c>
      <c r="BTY18" t="s">
        <v>14</v>
      </c>
      <c r="BTZ18" s="5">
        <v>43521</v>
      </c>
      <c r="BUA18" s="2" t="s">
        <v>68</v>
      </c>
      <c r="BUB18" s="7"/>
      <c r="BUC18"/>
      <c r="BUD18"/>
      <c r="BUE18" s="10">
        <v>-1.01</v>
      </c>
      <c r="BUF18" s="2" t="s">
        <v>65</v>
      </c>
      <c r="BUG18" t="s">
        <v>14</v>
      </c>
      <c r="BUH18" s="5">
        <v>43521</v>
      </c>
      <c r="BUI18" s="2" t="s">
        <v>68</v>
      </c>
      <c r="BUJ18" s="7"/>
      <c r="BUK18"/>
      <c r="BUL18"/>
      <c r="BUM18" s="10">
        <v>-1.01</v>
      </c>
      <c r="BUN18" s="2" t="s">
        <v>65</v>
      </c>
      <c r="BUO18" t="s">
        <v>14</v>
      </c>
      <c r="BUP18" s="5">
        <v>43521</v>
      </c>
      <c r="BUQ18" s="2" t="s">
        <v>68</v>
      </c>
      <c r="BUR18" s="7"/>
      <c r="BUS18"/>
      <c r="BUT18"/>
      <c r="BUU18" s="10">
        <v>-1.01</v>
      </c>
      <c r="BUV18" s="2" t="s">
        <v>65</v>
      </c>
      <c r="BUW18" t="s">
        <v>14</v>
      </c>
      <c r="BUX18" s="5">
        <v>43521</v>
      </c>
      <c r="BUY18" s="2" t="s">
        <v>68</v>
      </c>
      <c r="BUZ18" s="7"/>
      <c r="BVA18"/>
      <c r="BVB18"/>
      <c r="BVC18" s="10">
        <v>-1.01</v>
      </c>
      <c r="BVD18" s="2" t="s">
        <v>65</v>
      </c>
      <c r="BVE18" t="s">
        <v>14</v>
      </c>
      <c r="BVF18" s="5">
        <v>43521</v>
      </c>
      <c r="BVG18" s="2" t="s">
        <v>68</v>
      </c>
      <c r="BVH18" s="7"/>
      <c r="BVI18"/>
      <c r="BVJ18"/>
      <c r="BVK18" s="10">
        <v>-1.01</v>
      </c>
      <c r="BVL18" s="2" t="s">
        <v>65</v>
      </c>
      <c r="BVM18" t="s">
        <v>14</v>
      </c>
      <c r="BVN18" s="5">
        <v>43521</v>
      </c>
      <c r="BVO18" s="2" t="s">
        <v>68</v>
      </c>
      <c r="BVP18" s="7"/>
      <c r="BVQ18"/>
      <c r="BVR18"/>
      <c r="BVS18" s="10">
        <v>-1.01</v>
      </c>
      <c r="BVT18" s="2" t="s">
        <v>65</v>
      </c>
      <c r="BVU18" t="s">
        <v>14</v>
      </c>
      <c r="BVV18" s="5">
        <v>43521</v>
      </c>
      <c r="BVW18" s="2" t="s">
        <v>68</v>
      </c>
      <c r="BVX18" s="7"/>
      <c r="BVY18"/>
      <c r="BVZ18"/>
      <c r="BWA18" s="10">
        <v>-1.01</v>
      </c>
      <c r="BWB18" s="2" t="s">
        <v>65</v>
      </c>
      <c r="BWC18" t="s">
        <v>14</v>
      </c>
      <c r="BWD18" s="5">
        <v>43521</v>
      </c>
      <c r="BWE18" s="2" t="s">
        <v>68</v>
      </c>
      <c r="BWF18" s="7"/>
      <c r="BWG18"/>
      <c r="BWH18"/>
      <c r="BWI18" s="10">
        <v>-1.01</v>
      </c>
      <c r="BWJ18" s="2" t="s">
        <v>65</v>
      </c>
      <c r="BWK18" t="s">
        <v>14</v>
      </c>
      <c r="BWL18" s="5">
        <v>43521</v>
      </c>
      <c r="BWM18" s="2" t="s">
        <v>68</v>
      </c>
      <c r="BWN18" s="7"/>
      <c r="BWO18"/>
      <c r="BWP18"/>
      <c r="BWQ18" s="10">
        <v>-1.01</v>
      </c>
      <c r="BWR18" s="2" t="s">
        <v>65</v>
      </c>
      <c r="BWS18" t="s">
        <v>14</v>
      </c>
      <c r="BWT18" s="5">
        <v>43521</v>
      </c>
      <c r="BWU18" s="2" t="s">
        <v>68</v>
      </c>
      <c r="BWV18" s="7"/>
      <c r="BWW18"/>
      <c r="BWX18"/>
      <c r="BWY18" s="10">
        <v>-1.01</v>
      </c>
      <c r="BWZ18" s="2" t="s">
        <v>65</v>
      </c>
      <c r="BXA18" t="s">
        <v>14</v>
      </c>
      <c r="BXB18" s="5">
        <v>43521</v>
      </c>
      <c r="BXC18" s="2" t="s">
        <v>68</v>
      </c>
      <c r="BXD18" s="7"/>
      <c r="BXE18"/>
      <c r="BXF18"/>
      <c r="BXG18" s="10">
        <v>-1.01</v>
      </c>
      <c r="BXH18" s="2" t="s">
        <v>65</v>
      </c>
      <c r="BXI18" t="s">
        <v>14</v>
      </c>
      <c r="BXJ18" s="5">
        <v>43521</v>
      </c>
      <c r="BXK18" s="2" t="s">
        <v>68</v>
      </c>
      <c r="BXL18" s="7"/>
      <c r="BXM18"/>
      <c r="BXN18"/>
      <c r="BXO18" s="10">
        <v>-1.01</v>
      </c>
      <c r="BXP18" s="2" t="s">
        <v>65</v>
      </c>
      <c r="BXQ18" t="s">
        <v>14</v>
      </c>
      <c r="BXR18" s="5">
        <v>43521</v>
      </c>
      <c r="BXS18" s="2" t="s">
        <v>68</v>
      </c>
      <c r="BXT18" s="7"/>
      <c r="BXU18"/>
      <c r="BXV18"/>
      <c r="BXW18" s="10">
        <v>-1.01</v>
      </c>
      <c r="BXX18" s="2" t="s">
        <v>65</v>
      </c>
      <c r="BXY18" t="s">
        <v>14</v>
      </c>
      <c r="BXZ18" s="5">
        <v>43521</v>
      </c>
      <c r="BYA18" s="2" t="s">
        <v>68</v>
      </c>
      <c r="BYB18" s="7"/>
      <c r="BYC18"/>
      <c r="BYD18"/>
      <c r="BYE18" s="10">
        <v>-1.01</v>
      </c>
      <c r="BYF18" s="2" t="s">
        <v>65</v>
      </c>
      <c r="BYG18" t="s">
        <v>14</v>
      </c>
      <c r="BYH18" s="5">
        <v>43521</v>
      </c>
      <c r="BYI18" s="2" t="s">
        <v>68</v>
      </c>
      <c r="BYJ18" s="7"/>
      <c r="BYK18"/>
      <c r="BYL18"/>
      <c r="BYM18" s="10">
        <v>-1.01</v>
      </c>
      <c r="BYN18" s="2" t="s">
        <v>65</v>
      </c>
      <c r="BYO18" t="s">
        <v>14</v>
      </c>
      <c r="BYP18" s="5">
        <v>43521</v>
      </c>
      <c r="BYQ18" s="2" t="s">
        <v>68</v>
      </c>
      <c r="BYR18" s="7"/>
      <c r="BYS18"/>
      <c r="BYT18"/>
      <c r="BYU18" s="10">
        <v>-1.01</v>
      </c>
      <c r="BYV18" s="2" t="s">
        <v>65</v>
      </c>
      <c r="BYW18" t="s">
        <v>14</v>
      </c>
      <c r="BYX18" s="5">
        <v>43521</v>
      </c>
      <c r="BYY18" s="2" t="s">
        <v>68</v>
      </c>
      <c r="BYZ18" s="7"/>
      <c r="BZA18"/>
      <c r="BZB18"/>
      <c r="BZC18" s="10">
        <v>-1.01</v>
      </c>
      <c r="BZD18" s="2" t="s">
        <v>65</v>
      </c>
      <c r="BZE18" t="s">
        <v>14</v>
      </c>
      <c r="BZF18" s="5">
        <v>43521</v>
      </c>
      <c r="BZG18" s="2" t="s">
        <v>68</v>
      </c>
      <c r="BZH18" s="7"/>
      <c r="BZI18"/>
      <c r="BZJ18"/>
      <c r="BZK18" s="10">
        <v>-1.01</v>
      </c>
      <c r="BZL18" s="2" t="s">
        <v>65</v>
      </c>
      <c r="BZM18" t="s">
        <v>14</v>
      </c>
      <c r="BZN18" s="5">
        <v>43521</v>
      </c>
      <c r="BZO18" s="2" t="s">
        <v>68</v>
      </c>
      <c r="BZP18" s="7"/>
      <c r="BZQ18"/>
      <c r="BZR18"/>
      <c r="BZS18" s="10">
        <v>-1.01</v>
      </c>
      <c r="BZT18" s="2" t="s">
        <v>65</v>
      </c>
      <c r="BZU18" t="s">
        <v>14</v>
      </c>
      <c r="BZV18" s="5">
        <v>43521</v>
      </c>
      <c r="BZW18" s="2" t="s">
        <v>68</v>
      </c>
      <c r="BZX18" s="7"/>
      <c r="BZY18"/>
      <c r="BZZ18"/>
      <c r="CAA18" s="10">
        <v>-1.01</v>
      </c>
      <c r="CAB18" s="2" t="s">
        <v>65</v>
      </c>
      <c r="CAC18" t="s">
        <v>14</v>
      </c>
      <c r="CAD18" s="5">
        <v>43521</v>
      </c>
      <c r="CAE18" s="2" t="s">
        <v>68</v>
      </c>
      <c r="CAF18" s="7"/>
      <c r="CAG18"/>
      <c r="CAH18"/>
      <c r="CAI18" s="10">
        <v>-1.01</v>
      </c>
      <c r="CAJ18" s="2" t="s">
        <v>65</v>
      </c>
      <c r="CAK18" t="s">
        <v>14</v>
      </c>
      <c r="CAL18" s="5">
        <v>43521</v>
      </c>
      <c r="CAM18" s="2" t="s">
        <v>68</v>
      </c>
      <c r="CAN18" s="7"/>
      <c r="CAO18"/>
      <c r="CAP18"/>
      <c r="CAQ18" s="10">
        <v>-1.01</v>
      </c>
      <c r="CAR18" s="2" t="s">
        <v>65</v>
      </c>
      <c r="CAS18" t="s">
        <v>14</v>
      </c>
      <c r="CAT18" s="5">
        <v>43521</v>
      </c>
      <c r="CAU18" s="2" t="s">
        <v>68</v>
      </c>
      <c r="CAV18" s="7"/>
      <c r="CAW18"/>
      <c r="CAX18"/>
      <c r="CAY18" s="10">
        <v>-1.01</v>
      </c>
      <c r="CAZ18" s="2" t="s">
        <v>65</v>
      </c>
      <c r="CBA18" t="s">
        <v>14</v>
      </c>
      <c r="CBB18" s="5">
        <v>43521</v>
      </c>
      <c r="CBC18" s="2" t="s">
        <v>68</v>
      </c>
      <c r="CBD18" s="7"/>
      <c r="CBE18"/>
      <c r="CBF18"/>
      <c r="CBG18" s="10">
        <v>-1.01</v>
      </c>
      <c r="CBH18" s="2" t="s">
        <v>65</v>
      </c>
      <c r="CBI18" t="s">
        <v>14</v>
      </c>
      <c r="CBJ18" s="5">
        <v>43521</v>
      </c>
      <c r="CBK18" s="2" t="s">
        <v>68</v>
      </c>
      <c r="CBL18" s="7"/>
      <c r="CBM18"/>
      <c r="CBN18"/>
      <c r="CBO18" s="10">
        <v>-1.01</v>
      </c>
      <c r="CBP18" s="2" t="s">
        <v>65</v>
      </c>
      <c r="CBQ18" t="s">
        <v>14</v>
      </c>
      <c r="CBR18" s="5">
        <v>43521</v>
      </c>
      <c r="CBS18" s="2" t="s">
        <v>68</v>
      </c>
      <c r="CBT18" s="7"/>
      <c r="CBU18"/>
      <c r="CBV18"/>
      <c r="CBW18" s="10">
        <v>-1.01</v>
      </c>
      <c r="CBX18" s="2" t="s">
        <v>65</v>
      </c>
      <c r="CBY18" t="s">
        <v>14</v>
      </c>
      <c r="CBZ18" s="5">
        <v>43521</v>
      </c>
      <c r="CCA18" s="2" t="s">
        <v>68</v>
      </c>
      <c r="CCB18" s="7"/>
      <c r="CCC18"/>
      <c r="CCD18"/>
      <c r="CCE18" s="10">
        <v>-1.01</v>
      </c>
      <c r="CCF18" s="2" t="s">
        <v>65</v>
      </c>
      <c r="CCG18" t="s">
        <v>14</v>
      </c>
      <c r="CCH18" s="5">
        <v>43521</v>
      </c>
      <c r="CCI18" s="2" t="s">
        <v>68</v>
      </c>
      <c r="CCJ18" s="7"/>
      <c r="CCK18"/>
      <c r="CCL18"/>
      <c r="CCM18" s="10">
        <v>-1.01</v>
      </c>
      <c r="CCN18" s="2" t="s">
        <v>65</v>
      </c>
      <c r="CCO18" t="s">
        <v>14</v>
      </c>
      <c r="CCP18" s="5">
        <v>43521</v>
      </c>
      <c r="CCQ18" s="2" t="s">
        <v>68</v>
      </c>
      <c r="CCR18" s="7"/>
      <c r="CCS18"/>
      <c r="CCT18"/>
      <c r="CCU18" s="10">
        <v>-1.01</v>
      </c>
      <c r="CCV18" s="2" t="s">
        <v>65</v>
      </c>
      <c r="CCW18" t="s">
        <v>14</v>
      </c>
      <c r="CCX18" s="5">
        <v>43521</v>
      </c>
      <c r="CCY18" s="2" t="s">
        <v>68</v>
      </c>
      <c r="CCZ18" s="7"/>
      <c r="CDA18"/>
      <c r="CDB18"/>
      <c r="CDC18" s="10">
        <v>-1.01</v>
      </c>
      <c r="CDD18" s="2" t="s">
        <v>65</v>
      </c>
      <c r="CDE18" t="s">
        <v>14</v>
      </c>
      <c r="CDF18" s="5">
        <v>43521</v>
      </c>
      <c r="CDG18" s="2" t="s">
        <v>68</v>
      </c>
      <c r="CDH18" s="7"/>
      <c r="CDI18"/>
      <c r="CDJ18"/>
      <c r="CDK18" s="10">
        <v>-1.01</v>
      </c>
      <c r="CDL18" s="2" t="s">
        <v>65</v>
      </c>
      <c r="CDM18" t="s">
        <v>14</v>
      </c>
      <c r="CDN18" s="5">
        <v>43521</v>
      </c>
      <c r="CDO18" s="2" t="s">
        <v>68</v>
      </c>
      <c r="CDP18" s="7"/>
      <c r="CDQ18"/>
      <c r="CDR18"/>
      <c r="CDS18" s="10">
        <v>-1.01</v>
      </c>
      <c r="CDT18" s="2" t="s">
        <v>65</v>
      </c>
      <c r="CDU18" t="s">
        <v>14</v>
      </c>
      <c r="CDV18" s="5">
        <v>43521</v>
      </c>
      <c r="CDW18" s="2" t="s">
        <v>68</v>
      </c>
      <c r="CDX18" s="7"/>
      <c r="CDY18"/>
      <c r="CDZ18"/>
      <c r="CEA18" s="10">
        <v>-1.01</v>
      </c>
      <c r="CEB18" s="2" t="s">
        <v>65</v>
      </c>
      <c r="CEC18" t="s">
        <v>14</v>
      </c>
      <c r="CED18" s="5">
        <v>43521</v>
      </c>
      <c r="CEE18" s="2" t="s">
        <v>68</v>
      </c>
      <c r="CEF18" s="7"/>
      <c r="CEG18"/>
      <c r="CEH18"/>
      <c r="CEI18" s="10">
        <v>-1.01</v>
      </c>
      <c r="CEJ18" s="2" t="s">
        <v>65</v>
      </c>
      <c r="CEK18" t="s">
        <v>14</v>
      </c>
      <c r="CEL18" s="5">
        <v>43521</v>
      </c>
      <c r="CEM18" s="2" t="s">
        <v>68</v>
      </c>
      <c r="CEN18" s="7"/>
      <c r="CEO18"/>
      <c r="CEP18"/>
      <c r="CEQ18" s="10">
        <v>-1.01</v>
      </c>
      <c r="CER18" s="2" t="s">
        <v>65</v>
      </c>
      <c r="CES18" t="s">
        <v>14</v>
      </c>
      <c r="CET18" s="5">
        <v>43521</v>
      </c>
      <c r="CEU18" s="2" t="s">
        <v>68</v>
      </c>
      <c r="CEV18" s="7"/>
      <c r="CEW18"/>
      <c r="CEX18"/>
      <c r="CEY18" s="10">
        <v>-1.01</v>
      </c>
      <c r="CEZ18" s="2" t="s">
        <v>65</v>
      </c>
      <c r="CFA18" t="s">
        <v>14</v>
      </c>
      <c r="CFB18" s="5">
        <v>43521</v>
      </c>
      <c r="CFC18" s="2" t="s">
        <v>68</v>
      </c>
      <c r="CFD18" s="7"/>
      <c r="CFE18"/>
      <c r="CFF18"/>
      <c r="CFG18" s="10">
        <v>-1.01</v>
      </c>
      <c r="CFH18" s="2" t="s">
        <v>65</v>
      </c>
      <c r="CFI18" t="s">
        <v>14</v>
      </c>
      <c r="CFJ18" s="5">
        <v>43521</v>
      </c>
      <c r="CFK18" s="2" t="s">
        <v>68</v>
      </c>
      <c r="CFL18" s="7"/>
      <c r="CFM18"/>
      <c r="CFN18"/>
      <c r="CFO18" s="10">
        <v>-1.01</v>
      </c>
      <c r="CFP18" s="2" t="s">
        <v>65</v>
      </c>
      <c r="CFQ18" t="s">
        <v>14</v>
      </c>
      <c r="CFR18" s="5">
        <v>43521</v>
      </c>
      <c r="CFS18" s="2" t="s">
        <v>68</v>
      </c>
      <c r="CFT18" s="7"/>
      <c r="CFU18"/>
      <c r="CFV18"/>
      <c r="CFW18" s="10">
        <v>-1.01</v>
      </c>
      <c r="CFX18" s="2" t="s">
        <v>65</v>
      </c>
      <c r="CFY18" t="s">
        <v>14</v>
      </c>
      <c r="CFZ18" s="5">
        <v>43521</v>
      </c>
      <c r="CGA18" s="2" t="s">
        <v>68</v>
      </c>
      <c r="CGB18" s="7"/>
      <c r="CGC18"/>
      <c r="CGD18"/>
      <c r="CGE18" s="10">
        <v>-1.01</v>
      </c>
      <c r="CGF18" s="2" t="s">
        <v>65</v>
      </c>
      <c r="CGG18" t="s">
        <v>14</v>
      </c>
      <c r="CGH18" s="5">
        <v>43521</v>
      </c>
      <c r="CGI18" s="2" t="s">
        <v>68</v>
      </c>
      <c r="CGJ18" s="7"/>
      <c r="CGK18"/>
      <c r="CGL18"/>
      <c r="CGM18" s="10">
        <v>-1.01</v>
      </c>
      <c r="CGN18" s="2" t="s">
        <v>65</v>
      </c>
      <c r="CGO18" t="s">
        <v>14</v>
      </c>
      <c r="CGP18" s="5">
        <v>43521</v>
      </c>
      <c r="CGQ18" s="2" t="s">
        <v>68</v>
      </c>
      <c r="CGR18" s="7"/>
      <c r="CGS18"/>
      <c r="CGT18"/>
      <c r="CGU18" s="10">
        <v>-1.01</v>
      </c>
      <c r="CGV18" s="2" t="s">
        <v>65</v>
      </c>
      <c r="CGW18" t="s">
        <v>14</v>
      </c>
      <c r="CGX18" s="5">
        <v>43521</v>
      </c>
      <c r="CGY18" s="2" t="s">
        <v>68</v>
      </c>
      <c r="CGZ18" s="7"/>
      <c r="CHA18"/>
      <c r="CHB18"/>
      <c r="CHC18" s="10">
        <v>-1.01</v>
      </c>
      <c r="CHD18" s="2" t="s">
        <v>65</v>
      </c>
      <c r="CHE18" t="s">
        <v>14</v>
      </c>
      <c r="CHF18" s="5">
        <v>43521</v>
      </c>
      <c r="CHG18" s="2" t="s">
        <v>68</v>
      </c>
      <c r="CHH18" s="7"/>
      <c r="CHI18"/>
      <c r="CHJ18"/>
      <c r="CHK18" s="10">
        <v>-1.01</v>
      </c>
      <c r="CHL18" s="2" t="s">
        <v>65</v>
      </c>
      <c r="CHM18" t="s">
        <v>14</v>
      </c>
      <c r="CHN18" s="5">
        <v>43521</v>
      </c>
      <c r="CHO18" s="2" t="s">
        <v>68</v>
      </c>
      <c r="CHP18" s="7"/>
      <c r="CHQ18"/>
      <c r="CHR18"/>
      <c r="CHS18" s="10">
        <v>-1.01</v>
      </c>
      <c r="CHT18" s="2" t="s">
        <v>65</v>
      </c>
      <c r="CHU18" t="s">
        <v>14</v>
      </c>
      <c r="CHV18" s="5">
        <v>43521</v>
      </c>
      <c r="CHW18" s="2" t="s">
        <v>68</v>
      </c>
      <c r="CHX18" s="7"/>
      <c r="CHY18"/>
      <c r="CHZ18"/>
      <c r="CIA18" s="10">
        <v>-1.01</v>
      </c>
      <c r="CIB18" s="2" t="s">
        <v>65</v>
      </c>
      <c r="CIC18" t="s">
        <v>14</v>
      </c>
      <c r="CID18" s="5">
        <v>43521</v>
      </c>
      <c r="CIE18" s="2" t="s">
        <v>68</v>
      </c>
      <c r="CIF18" s="7"/>
      <c r="CIG18"/>
      <c r="CIH18"/>
      <c r="CII18" s="10">
        <v>-1.01</v>
      </c>
      <c r="CIJ18" s="2" t="s">
        <v>65</v>
      </c>
      <c r="CIK18" t="s">
        <v>14</v>
      </c>
      <c r="CIL18" s="5">
        <v>43521</v>
      </c>
      <c r="CIM18" s="2" t="s">
        <v>68</v>
      </c>
      <c r="CIN18" s="7"/>
      <c r="CIO18"/>
      <c r="CIP18"/>
      <c r="CIQ18" s="10">
        <v>-1.01</v>
      </c>
      <c r="CIR18" s="2" t="s">
        <v>65</v>
      </c>
      <c r="CIS18" t="s">
        <v>14</v>
      </c>
      <c r="CIT18" s="5">
        <v>43521</v>
      </c>
      <c r="CIU18" s="2" t="s">
        <v>68</v>
      </c>
      <c r="CIV18" s="7"/>
      <c r="CIW18"/>
      <c r="CIX18"/>
      <c r="CIY18" s="10">
        <v>-1.01</v>
      </c>
      <c r="CIZ18" s="2" t="s">
        <v>65</v>
      </c>
      <c r="CJA18" t="s">
        <v>14</v>
      </c>
      <c r="CJB18" s="5">
        <v>43521</v>
      </c>
      <c r="CJC18" s="2" t="s">
        <v>68</v>
      </c>
      <c r="CJD18" s="7"/>
      <c r="CJE18"/>
      <c r="CJF18"/>
      <c r="CJG18" s="10">
        <v>-1.01</v>
      </c>
      <c r="CJH18" s="2" t="s">
        <v>65</v>
      </c>
      <c r="CJI18" t="s">
        <v>14</v>
      </c>
      <c r="CJJ18" s="5">
        <v>43521</v>
      </c>
      <c r="CJK18" s="2" t="s">
        <v>68</v>
      </c>
      <c r="CJL18" s="7"/>
      <c r="CJM18"/>
      <c r="CJN18"/>
      <c r="CJO18" s="10">
        <v>-1.01</v>
      </c>
      <c r="CJP18" s="2" t="s">
        <v>65</v>
      </c>
      <c r="CJQ18" t="s">
        <v>14</v>
      </c>
      <c r="CJR18" s="5">
        <v>43521</v>
      </c>
      <c r="CJS18" s="2" t="s">
        <v>68</v>
      </c>
      <c r="CJT18" s="7"/>
      <c r="CJU18"/>
      <c r="CJV18"/>
      <c r="CJW18" s="10">
        <v>-1.01</v>
      </c>
      <c r="CJX18" s="2" t="s">
        <v>65</v>
      </c>
      <c r="CJY18" t="s">
        <v>14</v>
      </c>
      <c r="CJZ18" s="5">
        <v>43521</v>
      </c>
      <c r="CKA18" s="2" t="s">
        <v>68</v>
      </c>
      <c r="CKB18" s="7"/>
      <c r="CKC18"/>
      <c r="CKD18"/>
      <c r="CKE18" s="10">
        <v>-1.01</v>
      </c>
      <c r="CKF18" s="2" t="s">
        <v>65</v>
      </c>
      <c r="CKG18" t="s">
        <v>14</v>
      </c>
      <c r="CKH18" s="5">
        <v>43521</v>
      </c>
      <c r="CKI18" s="2" t="s">
        <v>68</v>
      </c>
      <c r="CKJ18" s="7"/>
      <c r="CKK18"/>
      <c r="CKL18"/>
      <c r="CKM18" s="10">
        <v>-1.01</v>
      </c>
      <c r="CKN18" s="2" t="s">
        <v>65</v>
      </c>
      <c r="CKO18" t="s">
        <v>14</v>
      </c>
      <c r="CKP18" s="5">
        <v>43521</v>
      </c>
      <c r="CKQ18" s="2" t="s">
        <v>68</v>
      </c>
      <c r="CKR18" s="7"/>
      <c r="CKS18"/>
      <c r="CKT18"/>
      <c r="CKU18" s="10">
        <v>-1.01</v>
      </c>
      <c r="CKV18" s="2" t="s">
        <v>65</v>
      </c>
      <c r="CKW18" t="s">
        <v>14</v>
      </c>
      <c r="CKX18" s="5">
        <v>43521</v>
      </c>
      <c r="CKY18" s="2" t="s">
        <v>68</v>
      </c>
      <c r="CKZ18" s="7"/>
      <c r="CLA18"/>
      <c r="CLB18"/>
      <c r="CLC18" s="10">
        <v>-1.01</v>
      </c>
      <c r="CLD18" s="2" t="s">
        <v>65</v>
      </c>
      <c r="CLE18" t="s">
        <v>14</v>
      </c>
      <c r="CLF18" s="5">
        <v>43521</v>
      </c>
      <c r="CLG18" s="2" t="s">
        <v>68</v>
      </c>
      <c r="CLH18" s="7"/>
      <c r="CLI18"/>
      <c r="CLJ18"/>
      <c r="CLK18" s="10">
        <v>-1.01</v>
      </c>
      <c r="CLL18" s="2" t="s">
        <v>65</v>
      </c>
      <c r="CLM18" t="s">
        <v>14</v>
      </c>
      <c r="CLN18" s="5">
        <v>43521</v>
      </c>
      <c r="CLO18" s="2" t="s">
        <v>68</v>
      </c>
      <c r="CLP18" s="7"/>
      <c r="CLQ18"/>
      <c r="CLR18"/>
      <c r="CLS18" s="10">
        <v>-1.01</v>
      </c>
      <c r="CLT18" s="2" t="s">
        <v>65</v>
      </c>
      <c r="CLU18" t="s">
        <v>14</v>
      </c>
      <c r="CLV18" s="5">
        <v>43521</v>
      </c>
      <c r="CLW18" s="2" t="s">
        <v>68</v>
      </c>
      <c r="CLX18" s="7"/>
      <c r="CLY18"/>
      <c r="CLZ18"/>
      <c r="CMA18" s="10">
        <v>-1.01</v>
      </c>
      <c r="CMB18" s="2" t="s">
        <v>65</v>
      </c>
      <c r="CMC18" t="s">
        <v>14</v>
      </c>
      <c r="CMD18" s="5">
        <v>43521</v>
      </c>
      <c r="CME18" s="2" t="s">
        <v>68</v>
      </c>
      <c r="CMF18" s="7"/>
      <c r="CMG18"/>
      <c r="CMH18"/>
      <c r="CMI18" s="10">
        <v>-1.01</v>
      </c>
      <c r="CMJ18" s="2" t="s">
        <v>65</v>
      </c>
      <c r="CMK18" t="s">
        <v>14</v>
      </c>
      <c r="CML18" s="5">
        <v>43521</v>
      </c>
      <c r="CMM18" s="2" t="s">
        <v>68</v>
      </c>
      <c r="CMN18" s="7"/>
      <c r="CMO18"/>
      <c r="CMP18"/>
      <c r="CMQ18" s="10">
        <v>-1.01</v>
      </c>
      <c r="CMR18" s="2" t="s">
        <v>65</v>
      </c>
      <c r="CMS18" t="s">
        <v>14</v>
      </c>
      <c r="CMT18" s="5">
        <v>43521</v>
      </c>
      <c r="CMU18" s="2" t="s">
        <v>68</v>
      </c>
      <c r="CMV18" s="7"/>
      <c r="CMW18"/>
      <c r="CMX18"/>
      <c r="CMY18" s="10">
        <v>-1.01</v>
      </c>
      <c r="CMZ18" s="2" t="s">
        <v>65</v>
      </c>
      <c r="CNA18" t="s">
        <v>14</v>
      </c>
      <c r="CNB18" s="5">
        <v>43521</v>
      </c>
      <c r="CNC18" s="2" t="s">
        <v>68</v>
      </c>
      <c r="CND18" s="7"/>
      <c r="CNE18"/>
      <c r="CNF18"/>
      <c r="CNG18" s="10">
        <v>-1.01</v>
      </c>
      <c r="CNH18" s="2" t="s">
        <v>65</v>
      </c>
      <c r="CNI18" t="s">
        <v>14</v>
      </c>
      <c r="CNJ18" s="5">
        <v>43521</v>
      </c>
      <c r="CNK18" s="2" t="s">
        <v>68</v>
      </c>
      <c r="CNL18" s="7"/>
      <c r="CNM18"/>
      <c r="CNN18"/>
      <c r="CNO18" s="10">
        <v>-1.01</v>
      </c>
      <c r="CNP18" s="2" t="s">
        <v>65</v>
      </c>
      <c r="CNQ18" t="s">
        <v>14</v>
      </c>
      <c r="CNR18" s="5">
        <v>43521</v>
      </c>
      <c r="CNS18" s="2" t="s">
        <v>68</v>
      </c>
      <c r="CNT18" s="7"/>
      <c r="CNU18"/>
      <c r="CNV18"/>
      <c r="CNW18" s="10">
        <v>-1.01</v>
      </c>
      <c r="CNX18" s="2" t="s">
        <v>65</v>
      </c>
      <c r="CNY18" t="s">
        <v>14</v>
      </c>
      <c r="CNZ18" s="5">
        <v>43521</v>
      </c>
      <c r="COA18" s="2" t="s">
        <v>68</v>
      </c>
      <c r="COB18" s="7"/>
      <c r="COC18"/>
      <c r="COD18"/>
      <c r="COE18" s="10">
        <v>-1.01</v>
      </c>
      <c r="COF18" s="2" t="s">
        <v>65</v>
      </c>
      <c r="COG18" t="s">
        <v>14</v>
      </c>
      <c r="COH18" s="5">
        <v>43521</v>
      </c>
      <c r="COI18" s="2" t="s">
        <v>68</v>
      </c>
      <c r="COJ18" s="7"/>
      <c r="COK18"/>
      <c r="COL18"/>
      <c r="COM18" s="10">
        <v>-1.01</v>
      </c>
      <c r="CON18" s="2" t="s">
        <v>65</v>
      </c>
      <c r="COO18" t="s">
        <v>14</v>
      </c>
      <c r="COP18" s="5">
        <v>43521</v>
      </c>
      <c r="COQ18" s="2" t="s">
        <v>68</v>
      </c>
      <c r="COR18" s="7"/>
      <c r="COS18"/>
      <c r="COT18"/>
      <c r="COU18" s="10">
        <v>-1.01</v>
      </c>
      <c r="COV18" s="2" t="s">
        <v>65</v>
      </c>
      <c r="COW18" t="s">
        <v>14</v>
      </c>
      <c r="COX18" s="5">
        <v>43521</v>
      </c>
      <c r="COY18" s="2" t="s">
        <v>68</v>
      </c>
      <c r="COZ18" s="7"/>
      <c r="CPA18"/>
      <c r="CPB18"/>
      <c r="CPC18" s="10">
        <v>-1.01</v>
      </c>
      <c r="CPD18" s="2" t="s">
        <v>65</v>
      </c>
      <c r="CPE18" t="s">
        <v>14</v>
      </c>
      <c r="CPF18" s="5">
        <v>43521</v>
      </c>
      <c r="CPG18" s="2" t="s">
        <v>68</v>
      </c>
      <c r="CPH18" s="7"/>
      <c r="CPI18"/>
      <c r="CPJ18"/>
      <c r="CPK18" s="10">
        <v>-1.01</v>
      </c>
      <c r="CPL18" s="2" t="s">
        <v>65</v>
      </c>
      <c r="CPM18" t="s">
        <v>14</v>
      </c>
      <c r="CPN18" s="5">
        <v>43521</v>
      </c>
      <c r="CPO18" s="2" t="s">
        <v>68</v>
      </c>
      <c r="CPP18" s="7"/>
      <c r="CPQ18"/>
      <c r="CPR18"/>
      <c r="CPS18" s="10">
        <v>-1.01</v>
      </c>
      <c r="CPT18" s="2" t="s">
        <v>65</v>
      </c>
      <c r="CPU18" t="s">
        <v>14</v>
      </c>
      <c r="CPV18" s="5">
        <v>43521</v>
      </c>
      <c r="CPW18" s="2" t="s">
        <v>68</v>
      </c>
      <c r="CPX18" s="7"/>
      <c r="CPY18"/>
      <c r="CPZ18"/>
      <c r="CQA18" s="10">
        <v>-1.01</v>
      </c>
      <c r="CQB18" s="2" t="s">
        <v>65</v>
      </c>
      <c r="CQC18" t="s">
        <v>14</v>
      </c>
      <c r="CQD18" s="5">
        <v>43521</v>
      </c>
      <c r="CQE18" s="2" t="s">
        <v>68</v>
      </c>
      <c r="CQF18" s="7"/>
      <c r="CQG18"/>
      <c r="CQH18"/>
      <c r="CQI18" s="10">
        <v>-1.01</v>
      </c>
      <c r="CQJ18" s="2" t="s">
        <v>65</v>
      </c>
      <c r="CQK18" t="s">
        <v>14</v>
      </c>
      <c r="CQL18" s="5">
        <v>43521</v>
      </c>
      <c r="CQM18" s="2" t="s">
        <v>68</v>
      </c>
      <c r="CQN18" s="7"/>
      <c r="CQO18"/>
      <c r="CQP18"/>
      <c r="CQQ18" s="10">
        <v>-1.01</v>
      </c>
      <c r="CQR18" s="2" t="s">
        <v>65</v>
      </c>
      <c r="CQS18" t="s">
        <v>14</v>
      </c>
      <c r="CQT18" s="5">
        <v>43521</v>
      </c>
      <c r="CQU18" s="2" t="s">
        <v>68</v>
      </c>
      <c r="CQV18" s="7"/>
      <c r="CQW18"/>
      <c r="CQX18"/>
      <c r="CQY18" s="10">
        <v>-1.01</v>
      </c>
      <c r="CQZ18" s="2" t="s">
        <v>65</v>
      </c>
      <c r="CRA18" t="s">
        <v>14</v>
      </c>
      <c r="CRB18" s="5">
        <v>43521</v>
      </c>
      <c r="CRC18" s="2" t="s">
        <v>68</v>
      </c>
      <c r="CRD18" s="7"/>
      <c r="CRE18"/>
      <c r="CRF18"/>
      <c r="CRG18" s="10">
        <v>-1.01</v>
      </c>
      <c r="CRH18" s="2" t="s">
        <v>65</v>
      </c>
      <c r="CRI18" t="s">
        <v>14</v>
      </c>
      <c r="CRJ18" s="5">
        <v>43521</v>
      </c>
      <c r="CRK18" s="2" t="s">
        <v>68</v>
      </c>
      <c r="CRL18" s="7"/>
      <c r="CRM18"/>
      <c r="CRN18"/>
      <c r="CRO18" s="10">
        <v>-1.01</v>
      </c>
      <c r="CRP18" s="2" t="s">
        <v>65</v>
      </c>
      <c r="CRQ18" t="s">
        <v>14</v>
      </c>
      <c r="CRR18" s="5">
        <v>43521</v>
      </c>
      <c r="CRS18" s="2" t="s">
        <v>68</v>
      </c>
      <c r="CRT18" s="7"/>
      <c r="CRU18"/>
      <c r="CRV18"/>
      <c r="CRW18" s="10">
        <v>-1.01</v>
      </c>
      <c r="CRX18" s="2" t="s">
        <v>65</v>
      </c>
      <c r="CRY18" t="s">
        <v>14</v>
      </c>
      <c r="CRZ18" s="5">
        <v>43521</v>
      </c>
      <c r="CSA18" s="2" t="s">
        <v>68</v>
      </c>
      <c r="CSB18" s="7"/>
      <c r="CSC18"/>
      <c r="CSD18"/>
      <c r="CSE18" s="10">
        <v>-1.01</v>
      </c>
      <c r="CSF18" s="2" t="s">
        <v>65</v>
      </c>
      <c r="CSG18" t="s">
        <v>14</v>
      </c>
      <c r="CSH18" s="5">
        <v>43521</v>
      </c>
      <c r="CSI18" s="2" t="s">
        <v>68</v>
      </c>
      <c r="CSJ18" s="7"/>
      <c r="CSK18"/>
      <c r="CSL18"/>
      <c r="CSM18" s="10">
        <v>-1.01</v>
      </c>
      <c r="CSN18" s="2" t="s">
        <v>65</v>
      </c>
      <c r="CSO18" t="s">
        <v>14</v>
      </c>
      <c r="CSP18" s="5">
        <v>43521</v>
      </c>
      <c r="CSQ18" s="2" t="s">
        <v>68</v>
      </c>
      <c r="CSR18" s="7"/>
      <c r="CSS18"/>
      <c r="CST18"/>
      <c r="CSU18" s="10">
        <v>-1.01</v>
      </c>
      <c r="CSV18" s="2" t="s">
        <v>65</v>
      </c>
      <c r="CSW18" t="s">
        <v>14</v>
      </c>
      <c r="CSX18" s="5">
        <v>43521</v>
      </c>
      <c r="CSY18" s="2" t="s">
        <v>68</v>
      </c>
      <c r="CSZ18" s="7"/>
      <c r="CTA18"/>
      <c r="CTB18"/>
      <c r="CTC18" s="10">
        <v>-1.01</v>
      </c>
      <c r="CTD18" s="2" t="s">
        <v>65</v>
      </c>
      <c r="CTE18" t="s">
        <v>14</v>
      </c>
      <c r="CTF18" s="5">
        <v>43521</v>
      </c>
      <c r="CTG18" s="2" t="s">
        <v>68</v>
      </c>
      <c r="CTH18" s="7"/>
      <c r="CTI18"/>
      <c r="CTJ18"/>
      <c r="CTK18" s="10">
        <v>-1.01</v>
      </c>
      <c r="CTL18" s="2" t="s">
        <v>65</v>
      </c>
      <c r="CTM18" t="s">
        <v>14</v>
      </c>
      <c r="CTN18" s="5">
        <v>43521</v>
      </c>
      <c r="CTO18" s="2" t="s">
        <v>68</v>
      </c>
      <c r="CTP18" s="7"/>
      <c r="CTQ18"/>
      <c r="CTR18"/>
      <c r="CTS18" s="10">
        <v>-1.01</v>
      </c>
      <c r="CTT18" s="2" t="s">
        <v>65</v>
      </c>
      <c r="CTU18" t="s">
        <v>14</v>
      </c>
      <c r="CTV18" s="5">
        <v>43521</v>
      </c>
      <c r="CTW18" s="2" t="s">
        <v>68</v>
      </c>
      <c r="CTX18" s="7"/>
      <c r="CTY18"/>
      <c r="CTZ18"/>
      <c r="CUA18" s="10">
        <v>-1.01</v>
      </c>
      <c r="CUB18" s="2" t="s">
        <v>65</v>
      </c>
      <c r="CUC18" t="s">
        <v>14</v>
      </c>
      <c r="CUD18" s="5">
        <v>43521</v>
      </c>
      <c r="CUE18" s="2" t="s">
        <v>68</v>
      </c>
      <c r="CUF18" s="7"/>
      <c r="CUG18"/>
      <c r="CUH18"/>
      <c r="CUI18" s="10">
        <v>-1.01</v>
      </c>
      <c r="CUJ18" s="2" t="s">
        <v>65</v>
      </c>
      <c r="CUK18" t="s">
        <v>14</v>
      </c>
      <c r="CUL18" s="5">
        <v>43521</v>
      </c>
      <c r="CUM18" s="2" t="s">
        <v>68</v>
      </c>
      <c r="CUN18" s="7"/>
      <c r="CUO18"/>
      <c r="CUP18"/>
      <c r="CUQ18" s="10">
        <v>-1.01</v>
      </c>
      <c r="CUR18" s="2" t="s">
        <v>65</v>
      </c>
      <c r="CUS18" t="s">
        <v>14</v>
      </c>
      <c r="CUT18" s="5">
        <v>43521</v>
      </c>
      <c r="CUU18" s="2" t="s">
        <v>68</v>
      </c>
      <c r="CUV18" s="7"/>
      <c r="CUW18"/>
      <c r="CUX18"/>
      <c r="CUY18" s="10">
        <v>-1.01</v>
      </c>
      <c r="CUZ18" s="2" t="s">
        <v>65</v>
      </c>
      <c r="CVA18" t="s">
        <v>14</v>
      </c>
      <c r="CVB18" s="5">
        <v>43521</v>
      </c>
      <c r="CVC18" s="2" t="s">
        <v>68</v>
      </c>
      <c r="CVD18" s="7"/>
      <c r="CVE18"/>
      <c r="CVF18"/>
      <c r="CVG18" s="10">
        <v>-1.01</v>
      </c>
      <c r="CVH18" s="2" t="s">
        <v>65</v>
      </c>
      <c r="CVI18" t="s">
        <v>14</v>
      </c>
      <c r="CVJ18" s="5">
        <v>43521</v>
      </c>
      <c r="CVK18" s="2" t="s">
        <v>68</v>
      </c>
      <c r="CVL18" s="7"/>
      <c r="CVM18"/>
      <c r="CVN18"/>
      <c r="CVO18" s="10">
        <v>-1.01</v>
      </c>
      <c r="CVP18" s="2" t="s">
        <v>65</v>
      </c>
      <c r="CVQ18" t="s">
        <v>14</v>
      </c>
      <c r="CVR18" s="5">
        <v>43521</v>
      </c>
      <c r="CVS18" s="2" t="s">
        <v>68</v>
      </c>
      <c r="CVT18" s="7"/>
      <c r="CVU18"/>
      <c r="CVV18"/>
      <c r="CVW18" s="10">
        <v>-1.01</v>
      </c>
      <c r="CVX18" s="2" t="s">
        <v>65</v>
      </c>
      <c r="CVY18" t="s">
        <v>14</v>
      </c>
      <c r="CVZ18" s="5">
        <v>43521</v>
      </c>
      <c r="CWA18" s="2" t="s">
        <v>68</v>
      </c>
      <c r="CWB18" s="7"/>
      <c r="CWC18"/>
      <c r="CWD18"/>
      <c r="CWE18" s="10">
        <v>-1.01</v>
      </c>
      <c r="CWF18" s="2" t="s">
        <v>65</v>
      </c>
      <c r="CWG18" t="s">
        <v>14</v>
      </c>
      <c r="CWH18" s="5">
        <v>43521</v>
      </c>
      <c r="CWI18" s="2" t="s">
        <v>68</v>
      </c>
      <c r="CWJ18" s="7"/>
      <c r="CWK18"/>
      <c r="CWL18"/>
      <c r="CWM18" s="10">
        <v>-1.01</v>
      </c>
      <c r="CWN18" s="2" t="s">
        <v>65</v>
      </c>
      <c r="CWO18" t="s">
        <v>14</v>
      </c>
      <c r="CWP18" s="5">
        <v>43521</v>
      </c>
      <c r="CWQ18" s="2" t="s">
        <v>68</v>
      </c>
      <c r="CWR18" s="7"/>
      <c r="CWS18"/>
      <c r="CWT18"/>
      <c r="CWU18" s="10">
        <v>-1.01</v>
      </c>
      <c r="CWV18" s="2" t="s">
        <v>65</v>
      </c>
      <c r="CWW18" t="s">
        <v>14</v>
      </c>
      <c r="CWX18" s="5">
        <v>43521</v>
      </c>
      <c r="CWY18" s="2" t="s">
        <v>68</v>
      </c>
      <c r="CWZ18" s="7"/>
      <c r="CXA18"/>
      <c r="CXB18"/>
      <c r="CXC18" s="10">
        <v>-1.01</v>
      </c>
      <c r="CXD18" s="2" t="s">
        <v>65</v>
      </c>
      <c r="CXE18" t="s">
        <v>14</v>
      </c>
      <c r="CXF18" s="5">
        <v>43521</v>
      </c>
      <c r="CXG18" s="2" t="s">
        <v>68</v>
      </c>
      <c r="CXH18" s="7"/>
      <c r="CXI18"/>
      <c r="CXJ18"/>
      <c r="CXK18" s="10">
        <v>-1.01</v>
      </c>
      <c r="CXL18" s="2" t="s">
        <v>65</v>
      </c>
      <c r="CXM18" t="s">
        <v>14</v>
      </c>
      <c r="CXN18" s="5">
        <v>43521</v>
      </c>
      <c r="CXO18" s="2" t="s">
        <v>68</v>
      </c>
      <c r="CXP18" s="7"/>
      <c r="CXQ18"/>
      <c r="CXR18"/>
      <c r="CXS18" s="10">
        <v>-1.01</v>
      </c>
      <c r="CXT18" s="2" t="s">
        <v>65</v>
      </c>
      <c r="CXU18" t="s">
        <v>14</v>
      </c>
      <c r="CXV18" s="5">
        <v>43521</v>
      </c>
      <c r="CXW18" s="2" t="s">
        <v>68</v>
      </c>
      <c r="CXX18" s="7"/>
      <c r="CXY18"/>
      <c r="CXZ18"/>
      <c r="CYA18" s="10">
        <v>-1.01</v>
      </c>
      <c r="CYB18" s="2" t="s">
        <v>65</v>
      </c>
      <c r="CYC18" t="s">
        <v>14</v>
      </c>
      <c r="CYD18" s="5">
        <v>43521</v>
      </c>
      <c r="CYE18" s="2" t="s">
        <v>68</v>
      </c>
      <c r="CYF18" s="7"/>
      <c r="CYG18"/>
      <c r="CYH18"/>
      <c r="CYI18" s="10">
        <v>-1.01</v>
      </c>
      <c r="CYJ18" s="2" t="s">
        <v>65</v>
      </c>
      <c r="CYK18" t="s">
        <v>14</v>
      </c>
      <c r="CYL18" s="5">
        <v>43521</v>
      </c>
      <c r="CYM18" s="2" t="s">
        <v>68</v>
      </c>
      <c r="CYN18" s="7"/>
      <c r="CYO18"/>
      <c r="CYP18"/>
      <c r="CYQ18" s="10">
        <v>-1.01</v>
      </c>
      <c r="CYR18" s="2" t="s">
        <v>65</v>
      </c>
      <c r="CYS18" t="s">
        <v>14</v>
      </c>
      <c r="CYT18" s="5">
        <v>43521</v>
      </c>
      <c r="CYU18" s="2" t="s">
        <v>68</v>
      </c>
      <c r="CYV18" s="7"/>
      <c r="CYW18"/>
      <c r="CYX18"/>
      <c r="CYY18" s="10">
        <v>-1.01</v>
      </c>
      <c r="CYZ18" s="2" t="s">
        <v>65</v>
      </c>
      <c r="CZA18" t="s">
        <v>14</v>
      </c>
      <c r="CZB18" s="5">
        <v>43521</v>
      </c>
      <c r="CZC18" s="2" t="s">
        <v>68</v>
      </c>
      <c r="CZD18" s="7"/>
      <c r="CZE18"/>
      <c r="CZF18"/>
      <c r="CZG18" s="10">
        <v>-1.01</v>
      </c>
      <c r="CZH18" s="2" t="s">
        <v>65</v>
      </c>
      <c r="CZI18" t="s">
        <v>14</v>
      </c>
      <c r="CZJ18" s="5">
        <v>43521</v>
      </c>
      <c r="CZK18" s="2" t="s">
        <v>68</v>
      </c>
      <c r="CZL18" s="7"/>
      <c r="CZM18"/>
      <c r="CZN18"/>
      <c r="CZO18" s="10">
        <v>-1.01</v>
      </c>
      <c r="CZP18" s="2" t="s">
        <v>65</v>
      </c>
      <c r="CZQ18" t="s">
        <v>14</v>
      </c>
      <c r="CZR18" s="5">
        <v>43521</v>
      </c>
      <c r="CZS18" s="2" t="s">
        <v>68</v>
      </c>
      <c r="CZT18" s="7"/>
      <c r="CZU18"/>
      <c r="CZV18"/>
      <c r="CZW18" s="10">
        <v>-1.01</v>
      </c>
      <c r="CZX18" s="2" t="s">
        <v>65</v>
      </c>
      <c r="CZY18" t="s">
        <v>14</v>
      </c>
      <c r="CZZ18" s="5">
        <v>43521</v>
      </c>
      <c r="DAA18" s="2" t="s">
        <v>68</v>
      </c>
      <c r="DAB18" s="7"/>
      <c r="DAC18"/>
      <c r="DAD18"/>
      <c r="DAE18" s="10">
        <v>-1.01</v>
      </c>
      <c r="DAF18" s="2" t="s">
        <v>65</v>
      </c>
      <c r="DAG18" t="s">
        <v>14</v>
      </c>
      <c r="DAH18" s="5">
        <v>43521</v>
      </c>
      <c r="DAI18" s="2" t="s">
        <v>68</v>
      </c>
      <c r="DAJ18" s="7"/>
      <c r="DAK18"/>
      <c r="DAL18"/>
      <c r="DAM18" s="10">
        <v>-1.01</v>
      </c>
      <c r="DAN18" s="2" t="s">
        <v>65</v>
      </c>
      <c r="DAO18" t="s">
        <v>14</v>
      </c>
      <c r="DAP18" s="5">
        <v>43521</v>
      </c>
      <c r="DAQ18" s="2" t="s">
        <v>68</v>
      </c>
      <c r="DAR18" s="7"/>
      <c r="DAS18"/>
      <c r="DAT18"/>
      <c r="DAU18" s="10">
        <v>-1.01</v>
      </c>
      <c r="DAV18" s="2" t="s">
        <v>65</v>
      </c>
      <c r="DAW18" t="s">
        <v>14</v>
      </c>
      <c r="DAX18" s="5">
        <v>43521</v>
      </c>
      <c r="DAY18" s="2" t="s">
        <v>68</v>
      </c>
      <c r="DAZ18" s="7"/>
      <c r="DBA18"/>
      <c r="DBB18"/>
      <c r="DBC18" s="10">
        <v>-1.01</v>
      </c>
      <c r="DBD18" s="2" t="s">
        <v>65</v>
      </c>
      <c r="DBE18" t="s">
        <v>14</v>
      </c>
      <c r="DBF18" s="5">
        <v>43521</v>
      </c>
      <c r="DBG18" s="2" t="s">
        <v>68</v>
      </c>
      <c r="DBH18" s="7"/>
      <c r="DBI18"/>
      <c r="DBJ18"/>
      <c r="DBK18" s="10">
        <v>-1.01</v>
      </c>
      <c r="DBL18" s="2" t="s">
        <v>65</v>
      </c>
      <c r="DBM18" t="s">
        <v>14</v>
      </c>
      <c r="DBN18" s="5">
        <v>43521</v>
      </c>
      <c r="DBO18" s="2" t="s">
        <v>68</v>
      </c>
      <c r="DBP18" s="7"/>
      <c r="DBQ18"/>
      <c r="DBR18"/>
      <c r="DBS18" s="10">
        <v>-1.01</v>
      </c>
      <c r="DBT18" s="2" t="s">
        <v>65</v>
      </c>
      <c r="DBU18" t="s">
        <v>14</v>
      </c>
      <c r="DBV18" s="5">
        <v>43521</v>
      </c>
      <c r="DBW18" s="2" t="s">
        <v>68</v>
      </c>
      <c r="DBX18" s="7"/>
      <c r="DBY18"/>
      <c r="DBZ18"/>
      <c r="DCA18" s="10">
        <v>-1.01</v>
      </c>
      <c r="DCB18" s="2" t="s">
        <v>65</v>
      </c>
      <c r="DCC18" t="s">
        <v>14</v>
      </c>
      <c r="DCD18" s="5">
        <v>43521</v>
      </c>
      <c r="DCE18" s="2" t="s">
        <v>68</v>
      </c>
      <c r="DCF18" s="7"/>
      <c r="DCG18"/>
      <c r="DCH18"/>
      <c r="DCI18" s="10">
        <v>-1.01</v>
      </c>
      <c r="DCJ18" s="2" t="s">
        <v>65</v>
      </c>
      <c r="DCK18" t="s">
        <v>14</v>
      </c>
      <c r="DCL18" s="5">
        <v>43521</v>
      </c>
      <c r="DCM18" s="2" t="s">
        <v>68</v>
      </c>
      <c r="DCN18" s="7"/>
      <c r="DCO18"/>
      <c r="DCP18"/>
      <c r="DCQ18" s="10">
        <v>-1.01</v>
      </c>
      <c r="DCR18" s="2" t="s">
        <v>65</v>
      </c>
      <c r="DCS18" t="s">
        <v>14</v>
      </c>
      <c r="DCT18" s="5">
        <v>43521</v>
      </c>
      <c r="DCU18" s="2" t="s">
        <v>68</v>
      </c>
      <c r="DCV18" s="7"/>
      <c r="DCW18"/>
      <c r="DCX18"/>
      <c r="DCY18" s="10">
        <v>-1.01</v>
      </c>
      <c r="DCZ18" s="2" t="s">
        <v>65</v>
      </c>
      <c r="DDA18" t="s">
        <v>14</v>
      </c>
      <c r="DDB18" s="5">
        <v>43521</v>
      </c>
      <c r="DDC18" s="2" t="s">
        <v>68</v>
      </c>
      <c r="DDD18" s="7"/>
      <c r="DDE18"/>
      <c r="DDF18"/>
      <c r="DDG18" s="10">
        <v>-1.01</v>
      </c>
      <c r="DDH18" s="2" t="s">
        <v>65</v>
      </c>
      <c r="DDI18" t="s">
        <v>14</v>
      </c>
      <c r="DDJ18" s="5">
        <v>43521</v>
      </c>
      <c r="DDK18" s="2" t="s">
        <v>68</v>
      </c>
      <c r="DDL18" s="7"/>
      <c r="DDM18"/>
      <c r="DDN18"/>
      <c r="DDO18" s="10">
        <v>-1.01</v>
      </c>
      <c r="DDP18" s="2" t="s">
        <v>65</v>
      </c>
      <c r="DDQ18" t="s">
        <v>14</v>
      </c>
      <c r="DDR18" s="5">
        <v>43521</v>
      </c>
      <c r="DDS18" s="2" t="s">
        <v>68</v>
      </c>
      <c r="DDT18" s="7"/>
      <c r="DDU18"/>
      <c r="DDV18"/>
      <c r="DDW18" s="10">
        <v>-1.01</v>
      </c>
      <c r="DDX18" s="2" t="s">
        <v>65</v>
      </c>
      <c r="DDY18" t="s">
        <v>14</v>
      </c>
      <c r="DDZ18" s="5">
        <v>43521</v>
      </c>
      <c r="DEA18" s="2" t="s">
        <v>68</v>
      </c>
      <c r="DEB18" s="7"/>
      <c r="DEC18"/>
      <c r="DED18"/>
      <c r="DEE18" s="10">
        <v>-1.01</v>
      </c>
      <c r="DEF18" s="2" t="s">
        <v>65</v>
      </c>
      <c r="DEG18" t="s">
        <v>14</v>
      </c>
      <c r="DEH18" s="5">
        <v>43521</v>
      </c>
      <c r="DEI18" s="2" t="s">
        <v>68</v>
      </c>
      <c r="DEJ18" s="7"/>
      <c r="DEK18"/>
      <c r="DEL18"/>
      <c r="DEM18" s="10">
        <v>-1.01</v>
      </c>
      <c r="DEN18" s="2" t="s">
        <v>65</v>
      </c>
      <c r="DEO18" t="s">
        <v>14</v>
      </c>
      <c r="DEP18" s="5">
        <v>43521</v>
      </c>
      <c r="DEQ18" s="2" t="s">
        <v>68</v>
      </c>
      <c r="DER18" s="7"/>
      <c r="DES18"/>
      <c r="DET18"/>
      <c r="DEU18" s="10">
        <v>-1.01</v>
      </c>
      <c r="DEV18" s="2" t="s">
        <v>65</v>
      </c>
      <c r="DEW18" t="s">
        <v>14</v>
      </c>
      <c r="DEX18" s="5">
        <v>43521</v>
      </c>
      <c r="DEY18" s="2" t="s">
        <v>68</v>
      </c>
      <c r="DEZ18" s="7"/>
      <c r="DFA18"/>
      <c r="DFB18"/>
      <c r="DFC18" s="10">
        <v>-1.01</v>
      </c>
      <c r="DFD18" s="2" t="s">
        <v>65</v>
      </c>
      <c r="DFE18" t="s">
        <v>14</v>
      </c>
      <c r="DFF18" s="5">
        <v>43521</v>
      </c>
      <c r="DFG18" s="2" t="s">
        <v>68</v>
      </c>
      <c r="DFH18" s="7"/>
      <c r="DFI18"/>
      <c r="DFJ18"/>
      <c r="DFK18" s="10">
        <v>-1.01</v>
      </c>
      <c r="DFL18" s="2" t="s">
        <v>65</v>
      </c>
      <c r="DFM18" t="s">
        <v>14</v>
      </c>
      <c r="DFN18" s="5">
        <v>43521</v>
      </c>
      <c r="DFO18" s="2" t="s">
        <v>68</v>
      </c>
      <c r="DFP18" s="7"/>
      <c r="DFQ18"/>
      <c r="DFR18"/>
      <c r="DFS18" s="10">
        <v>-1.01</v>
      </c>
      <c r="DFT18" s="2" t="s">
        <v>65</v>
      </c>
      <c r="DFU18" t="s">
        <v>14</v>
      </c>
      <c r="DFV18" s="5">
        <v>43521</v>
      </c>
      <c r="DFW18" s="2" t="s">
        <v>68</v>
      </c>
      <c r="DFX18" s="7"/>
      <c r="DFY18"/>
      <c r="DFZ18"/>
      <c r="DGA18" s="10">
        <v>-1.01</v>
      </c>
      <c r="DGB18" s="2" t="s">
        <v>65</v>
      </c>
      <c r="DGC18" t="s">
        <v>14</v>
      </c>
      <c r="DGD18" s="5">
        <v>43521</v>
      </c>
      <c r="DGE18" s="2" t="s">
        <v>68</v>
      </c>
      <c r="DGF18" s="7"/>
      <c r="DGG18"/>
      <c r="DGH18"/>
      <c r="DGI18" s="10">
        <v>-1.01</v>
      </c>
      <c r="DGJ18" s="2" t="s">
        <v>65</v>
      </c>
      <c r="DGK18" t="s">
        <v>14</v>
      </c>
      <c r="DGL18" s="5">
        <v>43521</v>
      </c>
      <c r="DGM18" s="2" t="s">
        <v>68</v>
      </c>
      <c r="DGN18" s="7"/>
      <c r="DGO18"/>
      <c r="DGP18"/>
      <c r="DGQ18" s="10">
        <v>-1.01</v>
      </c>
      <c r="DGR18" s="2" t="s">
        <v>65</v>
      </c>
      <c r="DGS18" t="s">
        <v>14</v>
      </c>
      <c r="DGT18" s="5">
        <v>43521</v>
      </c>
      <c r="DGU18" s="2" t="s">
        <v>68</v>
      </c>
      <c r="DGV18" s="7"/>
      <c r="DGW18"/>
      <c r="DGX18"/>
      <c r="DGY18" s="10">
        <v>-1.01</v>
      </c>
      <c r="DGZ18" s="2" t="s">
        <v>65</v>
      </c>
      <c r="DHA18" t="s">
        <v>14</v>
      </c>
      <c r="DHB18" s="5">
        <v>43521</v>
      </c>
      <c r="DHC18" s="2" t="s">
        <v>68</v>
      </c>
      <c r="DHD18" s="7"/>
      <c r="DHE18"/>
      <c r="DHF18"/>
      <c r="DHG18" s="10">
        <v>-1.01</v>
      </c>
      <c r="DHH18" s="2" t="s">
        <v>65</v>
      </c>
      <c r="DHI18" t="s">
        <v>14</v>
      </c>
      <c r="DHJ18" s="5">
        <v>43521</v>
      </c>
      <c r="DHK18" s="2" t="s">
        <v>68</v>
      </c>
      <c r="DHL18" s="7"/>
      <c r="DHM18"/>
      <c r="DHN18"/>
      <c r="DHO18" s="10">
        <v>-1.01</v>
      </c>
      <c r="DHP18" s="2" t="s">
        <v>65</v>
      </c>
      <c r="DHQ18" t="s">
        <v>14</v>
      </c>
      <c r="DHR18" s="5">
        <v>43521</v>
      </c>
      <c r="DHS18" s="2" t="s">
        <v>68</v>
      </c>
      <c r="DHT18" s="7"/>
      <c r="DHU18"/>
      <c r="DHV18"/>
      <c r="DHW18" s="10">
        <v>-1.01</v>
      </c>
      <c r="DHX18" s="2" t="s">
        <v>65</v>
      </c>
      <c r="DHY18" t="s">
        <v>14</v>
      </c>
      <c r="DHZ18" s="5">
        <v>43521</v>
      </c>
      <c r="DIA18" s="2" t="s">
        <v>68</v>
      </c>
      <c r="DIB18" s="7"/>
      <c r="DIC18"/>
      <c r="DID18"/>
      <c r="DIE18" s="10">
        <v>-1.01</v>
      </c>
      <c r="DIF18" s="2" t="s">
        <v>65</v>
      </c>
      <c r="DIG18" t="s">
        <v>14</v>
      </c>
      <c r="DIH18" s="5">
        <v>43521</v>
      </c>
      <c r="DII18" s="2" t="s">
        <v>68</v>
      </c>
      <c r="DIJ18" s="7"/>
      <c r="DIK18"/>
      <c r="DIL18"/>
      <c r="DIM18" s="10">
        <v>-1.01</v>
      </c>
      <c r="DIN18" s="2" t="s">
        <v>65</v>
      </c>
      <c r="DIO18" t="s">
        <v>14</v>
      </c>
      <c r="DIP18" s="5">
        <v>43521</v>
      </c>
      <c r="DIQ18" s="2" t="s">
        <v>68</v>
      </c>
      <c r="DIR18" s="7"/>
      <c r="DIS18"/>
      <c r="DIT18"/>
      <c r="DIU18" s="10">
        <v>-1.01</v>
      </c>
      <c r="DIV18" s="2" t="s">
        <v>65</v>
      </c>
      <c r="DIW18" t="s">
        <v>14</v>
      </c>
      <c r="DIX18" s="5">
        <v>43521</v>
      </c>
      <c r="DIY18" s="2" t="s">
        <v>68</v>
      </c>
      <c r="DIZ18" s="7"/>
      <c r="DJA18"/>
      <c r="DJB18"/>
      <c r="DJC18" s="10">
        <v>-1.01</v>
      </c>
      <c r="DJD18" s="2" t="s">
        <v>65</v>
      </c>
      <c r="DJE18" t="s">
        <v>14</v>
      </c>
      <c r="DJF18" s="5">
        <v>43521</v>
      </c>
      <c r="DJG18" s="2" t="s">
        <v>68</v>
      </c>
      <c r="DJH18" s="7"/>
      <c r="DJI18"/>
      <c r="DJJ18"/>
      <c r="DJK18" s="10">
        <v>-1.01</v>
      </c>
      <c r="DJL18" s="2" t="s">
        <v>65</v>
      </c>
      <c r="DJM18" t="s">
        <v>14</v>
      </c>
      <c r="DJN18" s="5">
        <v>43521</v>
      </c>
      <c r="DJO18" s="2" t="s">
        <v>68</v>
      </c>
      <c r="DJP18" s="7"/>
      <c r="DJQ18"/>
      <c r="DJR18"/>
      <c r="DJS18" s="10">
        <v>-1.01</v>
      </c>
      <c r="DJT18" s="2" t="s">
        <v>65</v>
      </c>
      <c r="DJU18" t="s">
        <v>14</v>
      </c>
      <c r="DJV18" s="5">
        <v>43521</v>
      </c>
      <c r="DJW18" s="2" t="s">
        <v>68</v>
      </c>
      <c r="DJX18" s="7"/>
      <c r="DJY18"/>
      <c r="DJZ18"/>
      <c r="DKA18" s="10">
        <v>-1.01</v>
      </c>
      <c r="DKB18" s="2" t="s">
        <v>65</v>
      </c>
      <c r="DKC18" t="s">
        <v>14</v>
      </c>
      <c r="DKD18" s="5">
        <v>43521</v>
      </c>
      <c r="DKE18" s="2" t="s">
        <v>68</v>
      </c>
      <c r="DKF18" s="7"/>
      <c r="DKG18"/>
      <c r="DKH18"/>
      <c r="DKI18" s="10">
        <v>-1.01</v>
      </c>
      <c r="DKJ18" s="2" t="s">
        <v>65</v>
      </c>
      <c r="DKK18" t="s">
        <v>14</v>
      </c>
      <c r="DKL18" s="5">
        <v>43521</v>
      </c>
      <c r="DKM18" s="2" t="s">
        <v>68</v>
      </c>
      <c r="DKN18" s="7"/>
      <c r="DKO18"/>
      <c r="DKP18"/>
      <c r="DKQ18" s="10">
        <v>-1.01</v>
      </c>
      <c r="DKR18" s="2" t="s">
        <v>65</v>
      </c>
      <c r="DKS18" t="s">
        <v>14</v>
      </c>
      <c r="DKT18" s="5">
        <v>43521</v>
      </c>
      <c r="DKU18" s="2" t="s">
        <v>68</v>
      </c>
      <c r="DKV18" s="7"/>
      <c r="DKW18"/>
      <c r="DKX18"/>
      <c r="DKY18" s="10">
        <v>-1.01</v>
      </c>
      <c r="DKZ18" s="2" t="s">
        <v>65</v>
      </c>
      <c r="DLA18" t="s">
        <v>14</v>
      </c>
      <c r="DLB18" s="5">
        <v>43521</v>
      </c>
      <c r="DLC18" s="2" t="s">
        <v>68</v>
      </c>
      <c r="DLD18" s="7"/>
      <c r="DLE18"/>
      <c r="DLF18"/>
      <c r="DLG18" s="10">
        <v>-1.01</v>
      </c>
      <c r="DLH18" s="2" t="s">
        <v>65</v>
      </c>
      <c r="DLI18" t="s">
        <v>14</v>
      </c>
      <c r="DLJ18" s="5">
        <v>43521</v>
      </c>
      <c r="DLK18" s="2" t="s">
        <v>68</v>
      </c>
      <c r="DLL18" s="7"/>
      <c r="DLM18"/>
      <c r="DLN18"/>
      <c r="DLO18" s="10">
        <v>-1.01</v>
      </c>
      <c r="DLP18" s="2" t="s">
        <v>65</v>
      </c>
      <c r="DLQ18" t="s">
        <v>14</v>
      </c>
      <c r="DLR18" s="5">
        <v>43521</v>
      </c>
      <c r="DLS18" s="2" t="s">
        <v>68</v>
      </c>
      <c r="DLT18" s="7"/>
      <c r="DLU18"/>
      <c r="DLV18"/>
      <c r="DLW18" s="10">
        <v>-1.01</v>
      </c>
      <c r="DLX18" s="2" t="s">
        <v>65</v>
      </c>
      <c r="DLY18" t="s">
        <v>14</v>
      </c>
      <c r="DLZ18" s="5">
        <v>43521</v>
      </c>
      <c r="DMA18" s="2" t="s">
        <v>68</v>
      </c>
      <c r="DMB18" s="7"/>
      <c r="DMC18"/>
      <c r="DMD18"/>
      <c r="DME18" s="10">
        <v>-1.01</v>
      </c>
      <c r="DMF18" s="2" t="s">
        <v>65</v>
      </c>
      <c r="DMG18" t="s">
        <v>14</v>
      </c>
      <c r="DMH18" s="5">
        <v>43521</v>
      </c>
      <c r="DMI18" s="2" t="s">
        <v>68</v>
      </c>
      <c r="DMJ18" s="7"/>
      <c r="DMK18"/>
      <c r="DML18"/>
      <c r="DMM18" s="10">
        <v>-1.01</v>
      </c>
      <c r="DMN18" s="2" t="s">
        <v>65</v>
      </c>
      <c r="DMO18" t="s">
        <v>14</v>
      </c>
      <c r="DMP18" s="5">
        <v>43521</v>
      </c>
      <c r="DMQ18" s="2" t="s">
        <v>68</v>
      </c>
      <c r="DMR18" s="7"/>
      <c r="DMS18"/>
      <c r="DMT18"/>
      <c r="DMU18" s="10">
        <v>-1.01</v>
      </c>
      <c r="DMV18" s="2" t="s">
        <v>65</v>
      </c>
      <c r="DMW18" t="s">
        <v>14</v>
      </c>
      <c r="DMX18" s="5">
        <v>43521</v>
      </c>
      <c r="DMY18" s="2" t="s">
        <v>68</v>
      </c>
      <c r="DMZ18" s="7"/>
      <c r="DNA18"/>
      <c r="DNB18"/>
      <c r="DNC18" s="10">
        <v>-1.01</v>
      </c>
      <c r="DND18" s="2" t="s">
        <v>65</v>
      </c>
      <c r="DNE18" t="s">
        <v>14</v>
      </c>
      <c r="DNF18" s="5">
        <v>43521</v>
      </c>
      <c r="DNG18" s="2" t="s">
        <v>68</v>
      </c>
      <c r="DNH18" s="7"/>
      <c r="DNI18"/>
      <c r="DNJ18"/>
      <c r="DNK18" s="10">
        <v>-1.01</v>
      </c>
      <c r="DNL18" s="2" t="s">
        <v>65</v>
      </c>
      <c r="DNM18" t="s">
        <v>14</v>
      </c>
      <c r="DNN18" s="5">
        <v>43521</v>
      </c>
      <c r="DNO18" s="2" t="s">
        <v>68</v>
      </c>
      <c r="DNP18" s="7"/>
      <c r="DNQ18"/>
      <c r="DNR18"/>
      <c r="DNS18" s="10">
        <v>-1.01</v>
      </c>
      <c r="DNT18" s="2" t="s">
        <v>65</v>
      </c>
      <c r="DNU18" t="s">
        <v>14</v>
      </c>
      <c r="DNV18" s="5">
        <v>43521</v>
      </c>
      <c r="DNW18" s="2" t="s">
        <v>68</v>
      </c>
      <c r="DNX18" s="7"/>
      <c r="DNY18"/>
      <c r="DNZ18"/>
      <c r="DOA18" s="10">
        <v>-1.01</v>
      </c>
      <c r="DOB18" s="2" t="s">
        <v>65</v>
      </c>
      <c r="DOC18" t="s">
        <v>14</v>
      </c>
      <c r="DOD18" s="5">
        <v>43521</v>
      </c>
      <c r="DOE18" s="2" t="s">
        <v>68</v>
      </c>
      <c r="DOF18" s="7"/>
      <c r="DOG18"/>
      <c r="DOH18"/>
      <c r="DOI18" s="10">
        <v>-1.01</v>
      </c>
      <c r="DOJ18" s="2" t="s">
        <v>65</v>
      </c>
      <c r="DOK18" t="s">
        <v>14</v>
      </c>
      <c r="DOL18" s="5">
        <v>43521</v>
      </c>
      <c r="DOM18" s="2" t="s">
        <v>68</v>
      </c>
      <c r="DON18" s="7"/>
      <c r="DOO18"/>
      <c r="DOP18"/>
      <c r="DOQ18" s="10">
        <v>-1.01</v>
      </c>
      <c r="DOR18" s="2" t="s">
        <v>65</v>
      </c>
      <c r="DOS18" t="s">
        <v>14</v>
      </c>
      <c r="DOT18" s="5">
        <v>43521</v>
      </c>
      <c r="DOU18" s="2" t="s">
        <v>68</v>
      </c>
      <c r="DOV18" s="7"/>
      <c r="DOW18"/>
      <c r="DOX18"/>
      <c r="DOY18" s="10">
        <v>-1.01</v>
      </c>
      <c r="DOZ18" s="2" t="s">
        <v>65</v>
      </c>
      <c r="DPA18" t="s">
        <v>14</v>
      </c>
      <c r="DPB18" s="5">
        <v>43521</v>
      </c>
      <c r="DPC18" s="2" t="s">
        <v>68</v>
      </c>
      <c r="DPD18" s="7"/>
      <c r="DPE18"/>
      <c r="DPF18"/>
      <c r="DPG18" s="10">
        <v>-1.01</v>
      </c>
      <c r="DPH18" s="2" t="s">
        <v>65</v>
      </c>
      <c r="DPI18" t="s">
        <v>14</v>
      </c>
      <c r="DPJ18" s="5">
        <v>43521</v>
      </c>
      <c r="DPK18" s="2" t="s">
        <v>68</v>
      </c>
      <c r="DPL18" s="7"/>
      <c r="DPM18"/>
      <c r="DPN18"/>
      <c r="DPO18" s="10">
        <v>-1.01</v>
      </c>
      <c r="DPP18" s="2" t="s">
        <v>65</v>
      </c>
      <c r="DPQ18" t="s">
        <v>14</v>
      </c>
      <c r="DPR18" s="5">
        <v>43521</v>
      </c>
      <c r="DPS18" s="2" t="s">
        <v>68</v>
      </c>
      <c r="DPT18" s="7"/>
      <c r="DPU18"/>
      <c r="DPV18"/>
      <c r="DPW18" s="10">
        <v>-1.01</v>
      </c>
      <c r="DPX18" s="2" t="s">
        <v>65</v>
      </c>
      <c r="DPY18" t="s">
        <v>14</v>
      </c>
      <c r="DPZ18" s="5">
        <v>43521</v>
      </c>
      <c r="DQA18" s="2" t="s">
        <v>68</v>
      </c>
      <c r="DQB18" s="7"/>
      <c r="DQC18"/>
      <c r="DQD18"/>
      <c r="DQE18" s="10">
        <v>-1.01</v>
      </c>
      <c r="DQF18" s="2" t="s">
        <v>65</v>
      </c>
      <c r="DQG18" t="s">
        <v>14</v>
      </c>
      <c r="DQH18" s="5">
        <v>43521</v>
      </c>
      <c r="DQI18" s="2" t="s">
        <v>68</v>
      </c>
      <c r="DQJ18" s="7"/>
      <c r="DQK18"/>
      <c r="DQL18"/>
      <c r="DQM18" s="10">
        <v>-1.01</v>
      </c>
      <c r="DQN18" s="2" t="s">
        <v>65</v>
      </c>
      <c r="DQO18" t="s">
        <v>14</v>
      </c>
      <c r="DQP18" s="5">
        <v>43521</v>
      </c>
      <c r="DQQ18" s="2" t="s">
        <v>68</v>
      </c>
      <c r="DQR18" s="7"/>
      <c r="DQS18"/>
      <c r="DQT18"/>
      <c r="DQU18" s="10">
        <v>-1.01</v>
      </c>
      <c r="DQV18" s="2" t="s">
        <v>65</v>
      </c>
      <c r="DQW18" t="s">
        <v>14</v>
      </c>
      <c r="DQX18" s="5">
        <v>43521</v>
      </c>
      <c r="DQY18" s="2" t="s">
        <v>68</v>
      </c>
      <c r="DQZ18" s="7"/>
      <c r="DRA18"/>
      <c r="DRB18"/>
      <c r="DRC18" s="10">
        <v>-1.01</v>
      </c>
      <c r="DRD18" s="2" t="s">
        <v>65</v>
      </c>
      <c r="DRE18" t="s">
        <v>14</v>
      </c>
      <c r="DRF18" s="5">
        <v>43521</v>
      </c>
      <c r="DRG18" s="2" t="s">
        <v>68</v>
      </c>
      <c r="DRH18" s="7"/>
      <c r="DRI18"/>
      <c r="DRJ18"/>
      <c r="DRK18" s="10">
        <v>-1.01</v>
      </c>
      <c r="DRL18" s="2" t="s">
        <v>65</v>
      </c>
      <c r="DRM18" t="s">
        <v>14</v>
      </c>
      <c r="DRN18" s="5">
        <v>43521</v>
      </c>
      <c r="DRO18" s="2" t="s">
        <v>68</v>
      </c>
      <c r="DRP18" s="7"/>
      <c r="DRQ18"/>
      <c r="DRR18"/>
      <c r="DRS18" s="10">
        <v>-1.01</v>
      </c>
      <c r="DRT18" s="2" t="s">
        <v>65</v>
      </c>
      <c r="DRU18" t="s">
        <v>14</v>
      </c>
      <c r="DRV18" s="5">
        <v>43521</v>
      </c>
      <c r="DRW18" s="2" t="s">
        <v>68</v>
      </c>
      <c r="DRX18" s="7"/>
      <c r="DRY18"/>
      <c r="DRZ18"/>
      <c r="DSA18" s="10">
        <v>-1.01</v>
      </c>
      <c r="DSB18" s="2" t="s">
        <v>65</v>
      </c>
      <c r="DSC18" t="s">
        <v>14</v>
      </c>
      <c r="DSD18" s="5">
        <v>43521</v>
      </c>
      <c r="DSE18" s="2" t="s">
        <v>68</v>
      </c>
      <c r="DSF18" s="7"/>
      <c r="DSG18"/>
      <c r="DSH18"/>
      <c r="DSI18" s="10">
        <v>-1.01</v>
      </c>
      <c r="DSJ18" s="2" t="s">
        <v>65</v>
      </c>
      <c r="DSK18" t="s">
        <v>14</v>
      </c>
      <c r="DSL18" s="5">
        <v>43521</v>
      </c>
      <c r="DSM18" s="2" t="s">
        <v>68</v>
      </c>
      <c r="DSN18" s="7"/>
      <c r="DSO18"/>
      <c r="DSP18"/>
      <c r="DSQ18" s="10">
        <v>-1.01</v>
      </c>
      <c r="DSR18" s="2" t="s">
        <v>65</v>
      </c>
      <c r="DSS18" t="s">
        <v>14</v>
      </c>
      <c r="DST18" s="5">
        <v>43521</v>
      </c>
      <c r="DSU18" s="2" t="s">
        <v>68</v>
      </c>
      <c r="DSV18" s="7"/>
      <c r="DSW18"/>
      <c r="DSX18"/>
      <c r="DSY18" s="10">
        <v>-1.01</v>
      </c>
      <c r="DSZ18" s="2" t="s">
        <v>65</v>
      </c>
      <c r="DTA18" t="s">
        <v>14</v>
      </c>
      <c r="DTB18" s="5">
        <v>43521</v>
      </c>
      <c r="DTC18" s="2" t="s">
        <v>68</v>
      </c>
      <c r="DTD18" s="7"/>
      <c r="DTE18"/>
      <c r="DTF18"/>
      <c r="DTG18" s="10">
        <v>-1.01</v>
      </c>
      <c r="DTH18" s="2" t="s">
        <v>65</v>
      </c>
      <c r="DTI18" t="s">
        <v>14</v>
      </c>
      <c r="DTJ18" s="5">
        <v>43521</v>
      </c>
      <c r="DTK18" s="2" t="s">
        <v>68</v>
      </c>
      <c r="DTL18" s="7"/>
      <c r="DTM18"/>
      <c r="DTN18"/>
      <c r="DTO18" s="10">
        <v>-1.01</v>
      </c>
      <c r="DTP18" s="2" t="s">
        <v>65</v>
      </c>
      <c r="DTQ18" t="s">
        <v>14</v>
      </c>
      <c r="DTR18" s="5">
        <v>43521</v>
      </c>
      <c r="DTS18" s="2" t="s">
        <v>68</v>
      </c>
      <c r="DTT18" s="7"/>
      <c r="DTU18"/>
      <c r="DTV18"/>
      <c r="DTW18" s="10">
        <v>-1.01</v>
      </c>
      <c r="DTX18" s="2" t="s">
        <v>65</v>
      </c>
      <c r="DTY18" t="s">
        <v>14</v>
      </c>
      <c r="DTZ18" s="5">
        <v>43521</v>
      </c>
      <c r="DUA18" s="2" t="s">
        <v>68</v>
      </c>
      <c r="DUB18" s="7"/>
      <c r="DUC18"/>
      <c r="DUD18"/>
      <c r="DUE18" s="10">
        <v>-1.01</v>
      </c>
      <c r="DUF18" s="2" t="s">
        <v>65</v>
      </c>
      <c r="DUG18" t="s">
        <v>14</v>
      </c>
      <c r="DUH18" s="5">
        <v>43521</v>
      </c>
      <c r="DUI18" s="2" t="s">
        <v>68</v>
      </c>
      <c r="DUJ18" s="7"/>
      <c r="DUK18"/>
      <c r="DUL18"/>
      <c r="DUM18" s="10">
        <v>-1.01</v>
      </c>
      <c r="DUN18" s="2" t="s">
        <v>65</v>
      </c>
      <c r="DUO18" t="s">
        <v>14</v>
      </c>
      <c r="DUP18" s="5">
        <v>43521</v>
      </c>
      <c r="DUQ18" s="2" t="s">
        <v>68</v>
      </c>
      <c r="DUR18" s="7"/>
      <c r="DUS18"/>
      <c r="DUT18"/>
      <c r="DUU18" s="10">
        <v>-1.01</v>
      </c>
      <c r="DUV18" s="2" t="s">
        <v>65</v>
      </c>
      <c r="DUW18" t="s">
        <v>14</v>
      </c>
      <c r="DUX18" s="5">
        <v>43521</v>
      </c>
      <c r="DUY18" s="2" t="s">
        <v>68</v>
      </c>
      <c r="DUZ18" s="7"/>
      <c r="DVA18"/>
      <c r="DVB18"/>
      <c r="DVC18" s="10">
        <v>-1.01</v>
      </c>
      <c r="DVD18" s="2" t="s">
        <v>65</v>
      </c>
      <c r="DVE18" t="s">
        <v>14</v>
      </c>
      <c r="DVF18" s="5">
        <v>43521</v>
      </c>
      <c r="DVG18" s="2" t="s">
        <v>68</v>
      </c>
      <c r="DVH18" s="7"/>
      <c r="DVI18"/>
      <c r="DVJ18"/>
      <c r="DVK18" s="10">
        <v>-1.01</v>
      </c>
      <c r="DVL18" s="2" t="s">
        <v>65</v>
      </c>
      <c r="DVM18" t="s">
        <v>14</v>
      </c>
      <c r="DVN18" s="5">
        <v>43521</v>
      </c>
      <c r="DVO18" s="2" t="s">
        <v>68</v>
      </c>
      <c r="DVP18" s="7"/>
      <c r="DVQ18"/>
      <c r="DVR18"/>
      <c r="DVS18" s="10">
        <v>-1.01</v>
      </c>
      <c r="DVT18" s="2" t="s">
        <v>65</v>
      </c>
      <c r="DVU18" t="s">
        <v>14</v>
      </c>
      <c r="DVV18" s="5">
        <v>43521</v>
      </c>
      <c r="DVW18" s="2" t="s">
        <v>68</v>
      </c>
      <c r="DVX18" s="7"/>
      <c r="DVY18"/>
      <c r="DVZ18"/>
      <c r="DWA18" s="10">
        <v>-1.01</v>
      </c>
      <c r="DWB18" s="2" t="s">
        <v>65</v>
      </c>
      <c r="DWC18" t="s">
        <v>14</v>
      </c>
      <c r="DWD18" s="5">
        <v>43521</v>
      </c>
      <c r="DWE18" s="2" t="s">
        <v>68</v>
      </c>
      <c r="DWF18" s="7"/>
      <c r="DWG18"/>
      <c r="DWH18"/>
      <c r="DWI18" s="10">
        <v>-1.01</v>
      </c>
      <c r="DWJ18" s="2" t="s">
        <v>65</v>
      </c>
      <c r="DWK18" t="s">
        <v>14</v>
      </c>
      <c r="DWL18" s="5">
        <v>43521</v>
      </c>
      <c r="DWM18" s="2" t="s">
        <v>68</v>
      </c>
      <c r="DWN18" s="7"/>
      <c r="DWO18"/>
      <c r="DWP18"/>
      <c r="DWQ18" s="10">
        <v>-1.01</v>
      </c>
      <c r="DWR18" s="2" t="s">
        <v>65</v>
      </c>
      <c r="DWS18" t="s">
        <v>14</v>
      </c>
      <c r="DWT18" s="5">
        <v>43521</v>
      </c>
      <c r="DWU18" s="2" t="s">
        <v>68</v>
      </c>
      <c r="DWV18" s="7"/>
      <c r="DWW18"/>
      <c r="DWX18"/>
      <c r="DWY18" s="10">
        <v>-1.01</v>
      </c>
      <c r="DWZ18" s="2" t="s">
        <v>65</v>
      </c>
      <c r="DXA18" t="s">
        <v>14</v>
      </c>
      <c r="DXB18" s="5">
        <v>43521</v>
      </c>
      <c r="DXC18" s="2" t="s">
        <v>68</v>
      </c>
      <c r="DXD18" s="7"/>
      <c r="DXE18"/>
      <c r="DXF18"/>
      <c r="DXG18" s="10">
        <v>-1.01</v>
      </c>
      <c r="DXH18" s="2" t="s">
        <v>65</v>
      </c>
      <c r="DXI18" t="s">
        <v>14</v>
      </c>
      <c r="DXJ18" s="5">
        <v>43521</v>
      </c>
      <c r="DXK18" s="2" t="s">
        <v>68</v>
      </c>
      <c r="DXL18" s="7"/>
      <c r="DXM18"/>
      <c r="DXN18"/>
      <c r="DXO18" s="10">
        <v>-1.01</v>
      </c>
      <c r="DXP18" s="2" t="s">
        <v>65</v>
      </c>
      <c r="DXQ18" t="s">
        <v>14</v>
      </c>
      <c r="DXR18" s="5">
        <v>43521</v>
      </c>
      <c r="DXS18" s="2" t="s">
        <v>68</v>
      </c>
      <c r="DXT18" s="7"/>
      <c r="DXU18"/>
      <c r="DXV18"/>
      <c r="DXW18" s="10">
        <v>-1.01</v>
      </c>
      <c r="DXX18" s="2" t="s">
        <v>65</v>
      </c>
      <c r="DXY18" t="s">
        <v>14</v>
      </c>
      <c r="DXZ18" s="5">
        <v>43521</v>
      </c>
      <c r="DYA18" s="2" t="s">
        <v>68</v>
      </c>
      <c r="DYB18" s="7"/>
      <c r="DYC18"/>
      <c r="DYD18"/>
      <c r="DYE18" s="10">
        <v>-1.01</v>
      </c>
      <c r="DYF18" s="2" t="s">
        <v>65</v>
      </c>
      <c r="DYG18" t="s">
        <v>14</v>
      </c>
      <c r="DYH18" s="5">
        <v>43521</v>
      </c>
      <c r="DYI18" s="2" t="s">
        <v>68</v>
      </c>
      <c r="DYJ18" s="7"/>
      <c r="DYK18"/>
      <c r="DYL18"/>
      <c r="DYM18" s="10">
        <v>-1.01</v>
      </c>
      <c r="DYN18" s="2" t="s">
        <v>65</v>
      </c>
      <c r="DYO18" t="s">
        <v>14</v>
      </c>
      <c r="DYP18" s="5">
        <v>43521</v>
      </c>
      <c r="DYQ18" s="2" t="s">
        <v>68</v>
      </c>
      <c r="DYR18" s="7"/>
      <c r="DYS18"/>
      <c r="DYT18"/>
      <c r="DYU18" s="10">
        <v>-1.01</v>
      </c>
      <c r="DYV18" s="2" t="s">
        <v>65</v>
      </c>
      <c r="DYW18" t="s">
        <v>14</v>
      </c>
      <c r="DYX18" s="5">
        <v>43521</v>
      </c>
      <c r="DYY18" s="2" t="s">
        <v>68</v>
      </c>
      <c r="DYZ18" s="7"/>
      <c r="DZA18"/>
      <c r="DZB18"/>
      <c r="DZC18" s="10">
        <v>-1.01</v>
      </c>
      <c r="DZD18" s="2" t="s">
        <v>65</v>
      </c>
      <c r="DZE18" t="s">
        <v>14</v>
      </c>
      <c r="DZF18" s="5">
        <v>43521</v>
      </c>
      <c r="DZG18" s="2" t="s">
        <v>68</v>
      </c>
      <c r="DZH18" s="7"/>
      <c r="DZI18"/>
      <c r="DZJ18"/>
      <c r="DZK18" s="10">
        <v>-1.01</v>
      </c>
      <c r="DZL18" s="2" t="s">
        <v>65</v>
      </c>
      <c r="DZM18" t="s">
        <v>14</v>
      </c>
      <c r="DZN18" s="5">
        <v>43521</v>
      </c>
      <c r="DZO18" s="2" t="s">
        <v>68</v>
      </c>
      <c r="DZP18" s="7"/>
      <c r="DZQ18"/>
      <c r="DZR18"/>
      <c r="DZS18" s="10">
        <v>-1.01</v>
      </c>
      <c r="DZT18" s="2" t="s">
        <v>65</v>
      </c>
      <c r="DZU18" t="s">
        <v>14</v>
      </c>
      <c r="DZV18" s="5">
        <v>43521</v>
      </c>
      <c r="DZW18" s="2" t="s">
        <v>68</v>
      </c>
      <c r="DZX18" s="7"/>
      <c r="DZY18"/>
      <c r="DZZ18"/>
      <c r="EAA18" s="10">
        <v>-1.01</v>
      </c>
      <c r="EAB18" s="2" t="s">
        <v>65</v>
      </c>
      <c r="EAC18" t="s">
        <v>14</v>
      </c>
      <c r="EAD18" s="5">
        <v>43521</v>
      </c>
      <c r="EAE18" s="2" t="s">
        <v>68</v>
      </c>
      <c r="EAF18" s="7"/>
      <c r="EAG18"/>
      <c r="EAH18"/>
      <c r="EAI18" s="10">
        <v>-1.01</v>
      </c>
      <c r="EAJ18" s="2" t="s">
        <v>65</v>
      </c>
      <c r="EAK18" t="s">
        <v>14</v>
      </c>
      <c r="EAL18" s="5">
        <v>43521</v>
      </c>
      <c r="EAM18" s="2" t="s">
        <v>68</v>
      </c>
      <c r="EAN18" s="7"/>
      <c r="EAO18"/>
      <c r="EAP18"/>
      <c r="EAQ18" s="10">
        <v>-1.01</v>
      </c>
      <c r="EAR18" s="2" t="s">
        <v>65</v>
      </c>
      <c r="EAS18" t="s">
        <v>14</v>
      </c>
      <c r="EAT18" s="5">
        <v>43521</v>
      </c>
      <c r="EAU18" s="2" t="s">
        <v>68</v>
      </c>
      <c r="EAV18" s="7"/>
      <c r="EAW18"/>
      <c r="EAX18"/>
      <c r="EAY18" s="10">
        <v>-1.01</v>
      </c>
      <c r="EAZ18" s="2" t="s">
        <v>65</v>
      </c>
      <c r="EBA18" t="s">
        <v>14</v>
      </c>
      <c r="EBB18" s="5">
        <v>43521</v>
      </c>
      <c r="EBC18" s="2" t="s">
        <v>68</v>
      </c>
      <c r="EBD18" s="7"/>
      <c r="EBE18"/>
      <c r="EBF18"/>
      <c r="EBG18" s="10">
        <v>-1.01</v>
      </c>
      <c r="EBH18" s="2" t="s">
        <v>65</v>
      </c>
      <c r="EBI18" t="s">
        <v>14</v>
      </c>
      <c r="EBJ18" s="5">
        <v>43521</v>
      </c>
      <c r="EBK18" s="2" t="s">
        <v>68</v>
      </c>
      <c r="EBL18" s="7"/>
      <c r="EBM18"/>
      <c r="EBN18"/>
      <c r="EBO18" s="10">
        <v>-1.01</v>
      </c>
      <c r="EBP18" s="2" t="s">
        <v>65</v>
      </c>
      <c r="EBQ18" t="s">
        <v>14</v>
      </c>
      <c r="EBR18" s="5">
        <v>43521</v>
      </c>
      <c r="EBS18" s="2" t="s">
        <v>68</v>
      </c>
      <c r="EBT18" s="7"/>
      <c r="EBU18"/>
      <c r="EBV18"/>
      <c r="EBW18" s="10">
        <v>-1.01</v>
      </c>
      <c r="EBX18" s="2" t="s">
        <v>65</v>
      </c>
      <c r="EBY18" t="s">
        <v>14</v>
      </c>
      <c r="EBZ18" s="5">
        <v>43521</v>
      </c>
      <c r="ECA18" s="2" t="s">
        <v>68</v>
      </c>
      <c r="ECB18" s="7"/>
      <c r="ECC18"/>
      <c r="ECD18"/>
      <c r="ECE18" s="10">
        <v>-1.01</v>
      </c>
      <c r="ECF18" s="2" t="s">
        <v>65</v>
      </c>
      <c r="ECG18" t="s">
        <v>14</v>
      </c>
      <c r="ECH18" s="5">
        <v>43521</v>
      </c>
      <c r="ECI18" s="2" t="s">
        <v>68</v>
      </c>
      <c r="ECJ18" s="7"/>
      <c r="ECK18"/>
      <c r="ECL18"/>
      <c r="ECM18" s="10">
        <v>-1.01</v>
      </c>
      <c r="ECN18" s="2" t="s">
        <v>65</v>
      </c>
      <c r="ECO18" t="s">
        <v>14</v>
      </c>
      <c r="ECP18" s="5">
        <v>43521</v>
      </c>
      <c r="ECQ18" s="2" t="s">
        <v>68</v>
      </c>
      <c r="ECR18" s="7"/>
      <c r="ECS18"/>
      <c r="ECT18"/>
      <c r="ECU18" s="10">
        <v>-1.01</v>
      </c>
      <c r="ECV18" s="2" t="s">
        <v>65</v>
      </c>
      <c r="ECW18" t="s">
        <v>14</v>
      </c>
      <c r="ECX18" s="5">
        <v>43521</v>
      </c>
      <c r="ECY18" s="2" t="s">
        <v>68</v>
      </c>
      <c r="ECZ18" s="7"/>
      <c r="EDA18"/>
      <c r="EDB18"/>
      <c r="EDC18" s="10">
        <v>-1.01</v>
      </c>
      <c r="EDD18" s="2" t="s">
        <v>65</v>
      </c>
      <c r="EDE18" t="s">
        <v>14</v>
      </c>
      <c r="EDF18" s="5">
        <v>43521</v>
      </c>
      <c r="EDG18" s="2" t="s">
        <v>68</v>
      </c>
      <c r="EDH18" s="7"/>
      <c r="EDI18"/>
      <c r="EDJ18"/>
      <c r="EDK18" s="10">
        <v>-1.01</v>
      </c>
      <c r="EDL18" s="2" t="s">
        <v>65</v>
      </c>
      <c r="EDM18" t="s">
        <v>14</v>
      </c>
      <c r="EDN18" s="5">
        <v>43521</v>
      </c>
      <c r="EDO18" s="2" t="s">
        <v>68</v>
      </c>
      <c r="EDP18" s="7"/>
      <c r="EDQ18"/>
      <c r="EDR18"/>
      <c r="EDS18" s="10">
        <v>-1.01</v>
      </c>
      <c r="EDT18" s="2" t="s">
        <v>65</v>
      </c>
      <c r="EDU18" t="s">
        <v>14</v>
      </c>
      <c r="EDV18" s="5">
        <v>43521</v>
      </c>
      <c r="EDW18" s="2" t="s">
        <v>68</v>
      </c>
      <c r="EDX18" s="7"/>
      <c r="EDY18"/>
      <c r="EDZ18"/>
      <c r="EEA18" s="10">
        <v>-1.01</v>
      </c>
      <c r="EEB18" s="2" t="s">
        <v>65</v>
      </c>
      <c r="EEC18" t="s">
        <v>14</v>
      </c>
      <c r="EED18" s="5">
        <v>43521</v>
      </c>
      <c r="EEE18" s="2" t="s">
        <v>68</v>
      </c>
      <c r="EEF18" s="7"/>
      <c r="EEG18"/>
      <c r="EEH18"/>
      <c r="EEI18" s="10">
        <v>-1.01</v>
      </c>
      <c r="EEJ18" s="2" t="s">
        <v>65</v>
      </c>
      <c r="EEK18" t="s">
        <v>14</v>
      </c>
      <c r="EEL18" s="5">
        <v>43521</v>
      </c>
      <c r="EEM18" s="2" t="s">
        <v>68</v>
      </c>
      <c r="EEN18" s="7"/>
      <c r="EEO18"/>
      <c r="EEP18"/>
      <c r="EEQ18" s="10">
        <v>-1.01</v>
      </c>
      <c r="EER18" s="2" t="s">
        <v>65</v>
      </c>
      <c r="EES18" t="s">
        <v>14</v>
      </c>
      <c r="EET18" s="5">
        <v>43521</v>
      </c>
      <c r="EEU18" s="2" t="s">
        <v>68</v>
      </c>
      <c r="EEV18" s="7"/>
      <c r="EEW18"/>
      <c r="EEX18"/>
      <c r="EEY18" s="10">
        <v>-1.01</v>
      </c>
      <c r="EEZ18" s="2" t="s">
        <v>65</v>
      </c>
      <c r="EFA18" t="s">
        <v>14</v>
      </c>
      <c r="EFB18" s="5">
        <v>43521</v>
      </c>
      <c r="EFC18" s="2" t="s">
        <v>68</v>
      </c>
      <c r="EFD18" s="7"/>
      <c r="EFE18"/>
      <c r="EFF18"/>
      <c r="EFG18" s="10">
        <v>-1.01</v>
      </c>
      <c r="EFH18" s="2" t="s">
        <v>65</v>
      </c>
      <c r="EFI18" t="s">
        <v>14</v>
      </c>
      <c r="EFJ18" s="5">
        <v>43521</v>
      </c>
      <c r="EFK18" s="2" t="s">
        <v>68</v>
      </c>
      <c r="EFL18" s="7"/>
      <c r="EFM18"/>
      <c r="EFN18"/>
      <c r="EFO18" s="10">
        <v>-1.01</v>
      </c>
      <c r="EFP18" s="2" t="s">
        <v>65</v>
      </c>
      <c r="EFQ18" t="s">
        <v>14</v>
      </c>
      <c r="EFR18" s="5">
        <v>43521</v>
      </c>
      <c r="EFS18" s="2" t="s">
        <v>68</v>
      </c>
      <c r="EFT18" s="7"/>
      <c r="EFU18"/>
      <c r="EFV18"/>
      <c r="EFW18" s="10">
        <v>-1.01</v>
      </c>
      <c r="EFX18" s="2" t="s">
        <v>65</v>
      </c>
      <c r="EFY18" t="s">
        <v>14</v>
      </c>
      <c r="EFZ18" s="5">
        <v>43521</v>
      </c>
      <c r="EGA18" s="2" t="s">
        <v>68</v>
      </c>
      <c r="EGB18" s="7"/>
      <c r="EGC18"/>
      <c r="EGD18"/>
      <c r="EGE18" s="10">
        <v>-1.01</v>
      </c>
      <c r="EGF18" s="2" t="s">
        <v>65</v>
      </c>
      <c r="EGG18" t="s">
        <v>14</v>
      </c>
      <c r="EGH18" s="5">
        <v>43521</v>
      </c>
      <c r="EGI18" s="2" t="s">
        <v>68</v>
      </c>
      <c r="EGJ18" s="7"/>
      <c r="EGK18"/>
      <c r="EGL18"/>
      <c r="EGM18" s="10">
        <v>-1.01</v>
      </c>
      <c r="EGN18" s="2" t="s">
        <v>65</v>
      </c>
      <c r="EGO18" t="s">
        <v>14</v>
      </c>
      <c r="EGP18" s="5">
        <v>43521</v>
      </c>
      <c r="EGQ18" s="2" t="s">
        <v>68</v>
      </c>
      <c r="EGR18" s="7"/>
      <c r="EGS18"/>
      <c r="EGT18"/>
      <c r="EGU18" s="10">
        <v>-1.01</v>
      </c>
      <c r="EGV18" s="2" t="s">
        <v>65</v>
      </c>
      <c r="EGW18" t="s">
        <v>14</v>
      </c>
      <c r="EGX18" s="5">
        <v>43521</v>
      </c>
      <c r="EGY18" s="2" t="s">
        <v>68</v>
      </c>
      <c r="EGZ18" s="7"/>
      <c r="EHA18"/>
      <c r="EHB18"/>
      <c r="EHC18" s="10">
        <v>-1.01</v>
      </c>
      <c r="EHD18" s="2" t="s">
        <v>65</v>
      </c>
      <c r="EHE18" t="s">
        <v>14</v>
      </c>
      <c r="EHF18" s="5">
        <v>43521</v>
      </c>
      <c r="EHG18" s="2" t="s">
        <v>68</v>
      </c>
      <c r="EHH18" s="7"/>
      <c r="EHI18"/>
      <c r="EHJ18"/>
      <c r="EHK18" s="10">
        <v>-1.01</v>
      </c>
      <c r="EHL18" s="2" t="s">
        <v>65</v>
      </c>
      <c r="EHM18" t="s">
        <v>14</v>
      </c>
      <c r="EHN18" s="5">
        <v>43521</v>
      </c>
      <c r="EHO18" s="2" t="s">
        <v>68</v>
      </c>
      <c r="EHP18" s="7"/>
      <c r="EHQ18"/>
      <c r="EHR18"/>
      <c r="EHS18" s="10">
        <v>-1.01</v>
      </c>
      <c r="EHT18" s="2" t="s">
        <v>65</v>
      </c>
      <c r="EHU18" t="s">
        <v>14</v>
      </c>
      <c r="EHV18" s="5">
        <v>43521</v>
      </c>
      <c r="EHW18" s="2" t="s">
        <v>68</v>
      </c>
      <c r="EHX18" s="7"/>
      <c r="EHY18"/>
      <c r="EHZ18"/>
      <c r="EIA18" s="10">
        <v>-1.01</v>
      </c>
      <c r="EIB18" s="2" t="s">
        <v>65</v>
      </c>
      <c r="EIC18" t="s">
        <v>14</v>
      </c>
      <c r="EID18" s="5">
        <v>43521</v>
      </c>
      <c r="EIE18" s="2" t="s">
        <v>68</v>
      </c>
      <c r="EIF18" s="7"/>
      <c r="EIG18"/>
      <c r="EIH18"/>
      <c r="EII18" s="10">
        <v>-1.01</v>
      </c>
      <c r="EIJ18" s="2" t="s">
        <v>65</v>
      </c>
      <c r="EIK18" t="s">
        <v>14</v>
      </c>
      <c r="EIL18" s="5">
        <v>43521</v>
      </c>
      <c r="EIM18" s="2" t="s">
        <v>68</v>
      </c>
      <c r="EIN18" s="7"/>
      <c r="EIO18"/>
      <c r="EIP18"/>
      <c r="EIQ18" s="10">
        <v>-1.01</v>
      </c>
      <c r="EIR18" s="2" t="s">
        <v>65</v>
      </c>
      <c r="EIS18" t="s">
        <v>14</v>
      </c>
      <c r="EIT18" s="5">
        <v>43521</v>
      </c>
      <c r="EIU18" s="2" t="s">
        <v>68</v>
      </c>
      <c r="EIV18" s="7"/>
      <c r="EIW18"/>
      <c r="EIX18"/>
      <c r="EIY18" s="10">
        <v>-1.01</v>
      </c>
      <c r="EIZ18" s="2" t="s">
        <v>65</v>
      </c>
      <c r="EJA18" t="s">
        <v>14</v>
      </c>
      <c r="EJB18" s="5">
        <v>43521</v>
      </c>
      <c r="EJC18" s="2" t="s">
        <v>68</v>
      </c>
      <c r="EJD18" s="7"/>
      <c r="EJE18"/>
      <c r="EJF18"/>
      <c r="EJG18" s="10">
        <v>-1.01</v>
      </c>
      <c r="EJH18" s="2" t="s">
        <v>65</v>
      </c>
      <c r="EJI18" t="s">
        <v>14</v>
      </c>
      <c r="EJJ18" s="5">
        <v>43521</v>
      </c>
      <c r="EJK18" s="2" t="s">
        <v>68</v>
      </c>
      <c r="EJL18" s="7"/>
      <c r="EJM18"/>
      <c r="EJN18"/>
      <c r="EJO18" s="10">
        <v>-1.01</v>
      </c>
      <c r="EJP18" s="2" t="s">
        <v>65</v>
      </c>
      <c r="EJQ18" t="s">
        <v>14</v>
      </c>
      <c r="EJR18" s="5">
        <v>43521</v>
      </c>
      <c r="EJS18" s="2" t="s">
        <v>68</v>
      </c>
      <c r="EJT18" s="7"/>
      <c r="EJU18"/>
      <c r="EJV18"/>
      <c r="EJW18" s="10">
        <v>-1.01</v>
      </c>
      <c r="EJX18" s="2" t="s">
        <v>65</v>
      </c>
      <c r="EJY18" t="s">
        <v>14</v>
      </c>
      <c r="EJZ18" s="5">
        <v>43521</v>
      </c>
      <c r="EKA18" s="2" t="s">
        <v>68</v>
      </c>
      <c r="EKB18" s="7"/>
      <c r="EKC18"/>
      <c r="EKD18"/>
      <c r="EKE18" s="10">
        <v>-1.01</v>
      </c>
      <c r="EKF18" s="2" t="s">
        <v>65</v>
      </c>
      <c r="EKG18" t="s">
        <v>14</v>
      </c>
      <c r="EKH18" s="5">
        <v>43521</v>
      </c>
      <c r="EKI18" s="2" t="s">
        <v>68</v>
      </c>
      <c r="EKJ18" s="7"/>
      <c r="EKK18"/>
      <c r="EKL18"/>
      <c r="EKM18" s="10">
        <v>-1.01</v>
      </c>
      <c r="EKN18" s="2" t="s">
        <v>65</v>
      </c>
      <c r="EKO18" t="s">
        <v>14</v>
      </c>
      <c r="EKP18" s="5">
        <v>43521</v>
      </c>
      <c r="EKQ18" s="2" t="s">
        <v>68</v>
      </c>
      <c r="EKR18" s="7"/>
      <c r="EKS18"/>
      <c r="EKT18"/>
      <c r="EKU18" s="10">
        <v>-1.01</v>
      </c>
      <c r="EKV18" s="2" t="s">
        <v>65</v>
      </c>
      <c r="EKW18" t="s">
        <v>14</v>
      </c>
      <c r="EKX18" s="5">
        <v>43521</v>
      </c>
      <c r="EKY18" s="2" t="s">
        <v>68</v>
      </c>
      <c r="EKZ18" s="7"/>
      <c r="ELA18"/>
      <c r="ELB18"/>
      <c r="ELC18" s="10">
        <v>-1.01</v>
      </c>
      <c r="ELD18" s="2" t="s">
        <v>65</v>
      </c>
      <c r="ELE18" t="s">
        <v>14</v>
      </c>
      <c r="ELF18" s="5">
        <v>43521</v>
      </c>
      <c r="ELG18" s="2" t="s">
        <v>68</v>
      </c>
      <c r="ELH18" s="7"/>
      <c r="ELI18"/>
      <c r="ELJ18"/>
      <c r="ELK18" s="10">
        <v>-1.01</v>
      </c>
      <c r="ELL18" s="2" t="s">
        <v>65</v>
      </c>
      <c r="ELM18" t="s">
        <v>14</v>
      </c>
      <c r="ELN18" s="5">
        <v>43521</v>
      </c>
      <c r="ELO18" s="2" t="s">
        <v>68</v>
      </c>
      <c r="ELP18" s="7"/>
      <c r="ELQ18"/>
      <c r="ELR18"/>
      <c r="ELS18" s="10">
        <v>-1.01</v>
      </c>
      <c r="ELT18" s="2" t="s">
        <v>65</v>
      </c>
      <c r="ELU18" t="s">
        <v>14</v>
      </c>
      <c r="ELV18" s="5">
        <v>43521</v>
      </c>
      <c r="ELW18" s="2" t="s">
        <v>68</v>
      </c>
      <c r="ELX18" s="7"/>
      <c r="ELY18"/>
      <c r="ELZ18"/>
      <c r="EMA18" s="10">
        <v>-1.01</v>
      </c>
      <c r="EMB18" s="2" t="s">
        <v>65</v>
      </c>
      <c r="EMC18" t="s">
        <v>14</v>
      </c>
      <c r="EMD18" s="5">
        <v>43521</v>
      </c>
      <c r="EME18" s="2" t="s">
        <v>68</v>
      </c>
      <c r="EMF18" s="7"/>
      <c r="EMG18"/>
      <c r="EMH18"/>
      <c r="EMI18" s="10">
        <v>-1.01</v>
      </c>
      <c r="EMJ18" s="2" t="s">
        <v>65</v>
      </c>
      <c r="EMK18" t="s">
        <v>14</v>
      </c>
      <c r="EML18" s="5">
        <v>43521</v>
      </c>
      <c r="EMM18" s="2" t="s">
        <v>68</v>
      </c>
      <c r="EMN18" s="7"/>
      <c r="EMO18"/>
      <c r="EMP18"/>
      <c r="EMQ18" s="10">
        <v>-1.01</v>
      </c>
      <c r="EMR18" s="2" t="s">
        <v>65</v>
      </c>
      <c r="EMS18" t="s">
        <v>14</v>
      </c>
      <c r="EMT18" s="5">
        <v>43521</v>
      </c>
      <c r="EMU18" s="2" t="s">
        <v>68</v>
      </c>
      <c r="EMV18" s="7"/>
      <c r="EMW18"/>
      <c r="EMX18"/>
      <c r="EMY18" s="10">
        <v>-1.01</v>
      </c>
      <c r="EMZ18" s="2" t="s">
        <v>65</v>
      </c>
      <c r="ENA18" t="s">
        <v>14</v>
      </c>
      <c r="ENB18" s="5">
        <v>43521</v>
      </c>
      <c r="ENC18" s="2" t="s">
        <v>68</v>
      </c>
      <c r="END18" s="7"/>
      <c r="ENE18"/>
      <c r="ENF18"/>
      <c r="ENG18" s="10">
        <v>-1.01</v>
      </c>
      <c r="ENH18" s="2" t="s">
        <v>65</v>
      </c>
      <c r="ENI18" t="s">
        <v>14</v>
      </c>
      <c r="ENJ18" s="5">
        <v>43521</v>
      </c>
      <c r="ENK18" s="2" t="s">
        <v>68</v>
      </c>
      <c r="ENL18" s="7"/>
      <c r="ENM18"/>
      <c r="ENN18"/>
      <c r="ENO18" s="10">
        <v>-1.01</v>
      </c>
      <c r="ENP18" s="2" t="s">
        <v>65</v>
      </c>
      <c r="ENQ18" t="s">
        <v>14</v>
      </c>
      <c r="ENR18" s="5">
        <v>43521</v>
      </c>
      <c r="ENS18" s="2" t="s">
        <v>68</v>
      </c>
      <c r="ENT18" s="7"/>
      <c r="ENU18"/>
      <c r="ENV18"/>
      <c r="ENW18" s="10">
        <v>-1.01</v>
      </c>
      <c r="ENX18" s="2" t="s">
        <v>65</v>
      </c>
      <c r="ENY18" t="s">
        <v>14</v>
      </c>
      <c r="ENZ18" s="5">
        <v>43521</v>
      </c>
      <c r="EOA18" s="2" t="s">
        <v>68</v>
      </c>
      <c r="EOB18" s="7"/>
      <c r="EOC18"/>
      <c r="EOD18"/>
      <c r="EOE18" s="10">
        <v>-1.01</v>
      </c>
      <c r="EOF18" s="2" t="s">
        <v>65</v>
      </c>
      <c r="EOG18" t="s">
        <v>14</v>
      </c>
      <c r="EOH18" s="5">
        <v>43521</v>
      </c>
      <c r="EOI18" s="2" t="s">
        <v>68</v>
      </c>
      <c r="EOJ18" s="7"/>
      <c r="EOK18"/>
      <c r="EOL18"/>
      <c r="EOM18" s="10">
        <v>-1.01</v>
      </c>
      <c r="EON18" s="2" t="s">
        <v>65</v>
      </c>
      <c r="EOO18" t="s">
        <v>14</v>
      </c>
      <c r="EOP18" s="5">
        <v>43521</v>
      </c>
      <c r="EOQ18" s="2" t="s">
        <v>68</v>
      </c>
      <c r="EOR18" s="7"/>
      <c r="EOS18"/>
      <c r="EOT18"/>
      <c r="EOU18" s="10">
        <v>-1.01</v>
      </c>
      <c r="EOV18" s="2" t="s">
        <v>65</v>
      </c>
      <c r="EOW18" t="s">
        <v>14</v>
      </c>
      <c r="EOX18" s="5">
        <v>43521</v>
      </c>
      <c r="EOY18" s="2" t="s">
        <v>68</v>
      </c>
      <c r="EOZ18" s="7"/>
      <c r="EPA18"/>
      <c r="EPB18"/>
      <c r="EPC18" s="10">
        <v>-1.01</v>
      </c>
      <c r="EPD18" s="2" t="s">
        <v>65</v>
      </c>
      <c r="EPE18" t="s">
        <v>14</v>
      </c>
      <c r="EPF18" s="5">
        <v>43521</v>
      </c>
      <c r="EPG18" s="2" t="s">
        <v>68</v>
      </c>
      <c r="EPH18" s="7"/>
      <c r="EPI18"/>
      <c r="EPJ18"/>
      <c r="EPK18" s="10">
        <v>-1.01</v>
      </c>
      <c r="EPL18" s="2" t="s">
        <v>65</v>
      </c>
      <c r="EPM18" t="s">
        <v>14</v>
      </c>
      <c r="EPN18" s="5">
        <v>43521</v>
      </c>
      <c r="EPO18" s="2" t="s">
        <v>68</v>
      </c>
      <c r="EPP18" s="7"/>
      <c r="EPQ18"/>
      <c r="EPR18"/>
      <c r="EPS18" s="10">
        <v>-1.01</v>
      </c>
      <c r="EPT18" s="2" t="s">
        <v>65</v>
      </c>
      <c r="EPU18" t="s">
        <v>14</v>
      </c>
      <c r="EPV18" s="5">
        <v>43521</v>
      </c>
      <c r="EPW18" s="2" t="s">
        <v>68</v>
      </c>
      <c r="EPX18" s="7"/>
      <c r="EPY18"/>
      <c r="EPZ18"/>
      <c r="EQA18" s="10">
        <v>-1.01</v>
      </c>
      <c r="EQB18" s="2" t="s">
        <v>65</v>
      </c>
      <c r="EQC18" t="s">
        <v>14</v>
      </c>
      <c r="EQD18" s="5">
        <v>43521</v>
      </c>
      <c r="EQE18" s="2" t="s">
        <v>68</v>
      </c>
      <c r="EQF18" s="7"/>
      <c r="EQG18"/>
      <c r="EQH18"/>
      <c r="EQI18" s="10">
        <v>-1.01</v>
      </c>
      <c r="EQJ18" s="2" t="s">
        <v>65</v>
      </c>
      <c r="EQK18" t="s">
        <v>14</v>
      </c>
      <c r="EQL18" s="5">
        <v>43521</v>
      </c>
      <c r="EQM18" s="2" t="s">
        <v>68</v>
      </c>
      <c r="EQN18" s="7"/>
      <c r="EQO18"/>
      <c r="EQP18"/>
      <c r="EQQ18" s="10">
        <v>-1.01</v>
      </c>
      <c r="EQR18" s="2" t="s">
        <v>65</v>
      </c>
      <c r="EQS18" t="s">
        <v>14</v>
      </c>
      <c r="EQT18" s="5">
        <v>43521</v>
      </c>
      <c r="EQU18" s="2" t="s">
        <v>68</v>
      </c>
      <c r="EQV18" s="7"/>
      <c r="EQW18"/>
      <c r="EQX18"/>
      <c r="EQY18" s="10">
        <v>-1.01</v>
      </c>
      <c r="EQZ18" s="2" t="s">
        <v>65</v>
      </c>
      <c r="ERA18" t="s">
        <v>14</v>
      </c>
      <c r="ERB18" s="5">
        <v>43521</v>
      </c>
      <c r="ERC18" s="2" t="s">
        <v>68</v>
      </c>
      <c r="ERD18" s="7"/>
      <c r="ERE18"/>
      <c r="ERF18"/>
      <c r="ERG18" s="10">
        <v>-1.01</v>
      </c>
      <c r="ERH18" s="2" t="s">
        <v>65</v>
      </c>
      <c r="ERI18" t="s">
        <v>14</v>
      </c>
      <c r="ERJ18" s="5">
        <v>43521</v>
      </c>
      <c r="ERK18" s="2" t="s">
        <v>68</v>
      </c>
      <c r="ERL18" s="7"/>
      <c r="ERM18"/>
      <c r="ERN18"/>
      <c r="ERO18" s="10">
        <v>-1.01</v>
      </c>
      <c r="ERP18" s="2" t="s">
        <v>65</v>
      </c>
      <c r="ERQ18" t="s">
        <v>14</v>
      </c>
      <c r="ERR18" s="5">
        <v>43521</v>
      </c>
      <c r="ERS18" s="2" t="s">
        <v>68</v>
      </c>
      <c r="ERT18" s="7"/>
      <c r="ERU18"/>
      <c r="ERV18"/>
      <c r="ERW18" s="10">
        <v>-1.01</v>
      </c>
      <c r="ERX18" s="2" t="s">
        <v>65</v>
      </c>
      <c r="ERY18" t="s">
        <v>14</v>
      </c>
      <c r="ERZ18" s="5">
        <v>43521</v>
      </c>
      <c r="ESA18" s="2" t="s">
        <v>68</v>
      </c>
      <c r="ESB18" s="7"/>
      <c r="ESC18"/>
      <c r="ESD18"/>
      <c r="ESE18" s="10">
        <v>-1.01</v>
      </c>
      <c r="ESF18" s="2" t="s">
        <v>65</v>
      </c>
      <c r="ESG18" t="s">
        <v>14</v>
      </c>
      <c r="ESH18" s="5">
        <v>43521</v>
      </c>
      <c r="ESI18" s="2" t="s">
        <v>68</v>
      </c>
      <c r="ESJ18" s="7"/>
      <c r="ESK18"/>
      <c r="ESL18"/>
      <c r="ESM18" s="10">
        <v>-1.01</v>
      </c>
      <c r="ESN18" s="2" t="s">
        <v>65</v>
      </c>
      <c r="ESO18" t="s">
        <v>14</v>
      </c>
      <c r="ESP18" s="5">
        <v>43521</v>
      </c>
      <c r="ESQ18" s="2" t="s">
        <v>68</v>
      </c>
      <c r="ESR18" s="7"/>
      <c r="ESS18"/>
      <c r="EST18"/>
      <c r="ESU18" s="10">
        <v>-1.01</v>
      </c>
      <c r="ESV18" s="2" t="s">
        <v>65</v>
      </c>
      <c r="ESW18" t="s">
        <v>14</v>
      </c>
      <c r="ESX18" s="5">
        <v>43521</v>
      </c>
      <c r="ESY18" s="2" t="s">
        <v>68</v>
      </c>
      <c r="ESZ18" s="7"/>
      <c r="ETA18"/>
      <c r="ETB18"/>
      <c r="ETC18" s="10">
        <v>-1.01</v>
      </c>
      <c r="ETD18" s="2" t="s">
        <v>65</v>
      </c>
      <c r="ETE18" t="s">
        <v>14</v>
      </c>
      <c r="ETF18" s="5">
        <v>43521</v>
      </c>
      <c r="ETG18" s="2" t="s">
        <v>68</v>
      </c>
      <c r="ETH18" s="7"/>
      <c r="ETI18"/>
      <c r="ETJ18"/>
      <c r="ETK18" s="10">
        <v>-1.01</v>
      </c>
      <c r="ETL18" s="2" t="s">
        <v>65</v>
      </c>
      <c r="ETM18" t="s">
        <v>14</v>
      </c>
      <c r="ETN18" s="5">
        <v>43521</v>
      </c>
      <c r="ETO18" s="2" t="s">
        <v>68</v>
      </c>
      <c r="ETP18" s="7"/>
      <c r="ETQ18"/>
      <c r="ETR18"/>
      <c r="ETS18" s="10">
        <v>-1.01</v>
      </c>
      <c r="ETT18" s="2" t="s">
        <v>65</v>
      </c>
      <c r="ETU18" t="s">
        <v>14</v>
      </c>
      <c r="ETV18" s="5">
        <v>43521</v>
      </c>
      <c r="ETW18" s="2" t="s">
        <v>68</v>
      </c>
      <c r="ETX18" s="7"/>
      <c r="ETY18"/>
      <c r="ETZ18"/>
      <c r="EUA18" s="10">
        <v>-1.01</v>
      </c>
      <c r="EUB18" s="2" t="s">
        <v>65</v>
      </c>
      <c r="EUC18" t="s">
        <v>14</v>
      </c>
      <c r="EUD18" s="5">
        <v>43521</v>
      </c>
      <c r="EUE18" s="2" t="s">
        <v>68</v>
      </c>
      <c r="EUF18" s="7"/>
      <c r="EUG18"/>
      <c r="EUH18"/>
      <c r="EUI18" s="10">
        <v>-1.01</v>
      </c>
      <c r="EUJ18" s="2" t="s">
        <v>65</v>
      </c>
      <c r="EUK18" t="s">
        <v>14</v>
      </c>
      <c r="EUL18" s="5">
        <v>43521</v>
      </c>
      <c r="EUM18" s="2" t="s">
        <v>68</v>
      </c>
      <c r="EUN18" s="7"/>
      <c r="EUO18"/>
      <c r="EUP18"/>
      <c r="EUQ18" s="10">
        <v>-1.01</v>
      </c>
      <c r="EUR18" s="2" t="s">
        <v>65</v>
      </c>
      <c r="EUS18" t="s">
        <v>14</v>
      </c>
      <c r="EUT18" s="5">
        <v>43521</v>
      </c>
      <c r="EUU18" s="2" t="s">
        <v>68</v>
      </c>
      <c r="EUV18" s="7"/>
      <c r="EUW18"/>
      <c r="EUX18"/>
      <c r="EUY18" s="10">
        <v>-1.01</v>
      </c>
      <c r="EUZ18" s="2" t="s">
        <v>65</v>
      </c>
      <c r="EVA18" t="s">
        <v>14</v>
      </c>
      <c r="EVB18" s="5">
        <v>43521</v>
      </c>
      <c r="EVC18" s="2" t="s">
        <v>68</v>
      </c>
      <c r="EVD18" s="7"/>
      <c r="EVE18"/>
      <c r="EVF18"/>
      <c r="EVG18" s="10">
        <v>-1.01</v>
      </c>
      <c r="EVH18" s="2" t="s">
        <v>65</v>
      </c>
      <c r="EVI18" t="s">
        <v>14</v>
      </c>
      <c r="EVJ18" s="5">
        <v>43521</v>
      </c>
      <c r="EVK18" s="2" t="s">
        <v>68</v>
      </c>
      <c r="EVL18" s="7"/>
      <c r="EVM18"/>
      <c r="EVN18"/>
      <c r="EVO18" s="10">
        <v>-1.01</v>
      </c>
      <c r="EVP18" s="2" t="s">
        <v>65</v>
      </c>
      <c r="EVQ18" t="s">
        <v>14</v>
      </c>
      <c r="EVR18" s="5">
        <v>43521</v>
      </c>
      <c r="EVS18" s="2" t="s">
        <v>68</v>
      </c>
      <c r="EVT18" s="7"/>
      <c r="EVU18"/>
      <c r="EVV18"/>
      <c r="EVW18" s="10">
        <v>-1.01</v>
      </c>
      <c r="EVX18" s="2" t="s">
        <v>65</v>
      </c>
      <c r="EVY18" t="s">
        <v>14</v>
      </c>
      <c r="EVZ18" s="5">
        <v>43521</v>
      </c>
      <c r="EWA18" s="2" t="s">
        <v>68</v>
      </c>
      <c r="EWB18" s="7"/>
      <c r="EWC18"/>
      <c r="EWD18"/>
      <c r="EWE18" s="10">
        <v>-1.01</v>
      </c>
      <c r="EWF18" s="2" t="s">
        <v>65</v>
      </c>
      <c r="EWG18" t="s">
        <v>14</v>
      </c>
      <c r="EWH18" s="5">
        <v>43521</v>
      </c>
      <c r="EWI18" s="2" t="s">
        <v>68</v>
      </c>
      <c r="EWJ18" s="7"/>
      <c r="EWK18"/>
      <c r="EWL18"/>
      <c r="EWM18" s="10">
        <v>-1.01</v>
      </c>
      <c r="EWN18" s="2" t="s">
        <v>65</v>
      </c>
      <c r="EWO18" t="s">
        <v>14</v>
      </c>
      <c r="EWP18" s="5">
        <v>43521</v>
      </c>
      <c r="EWQ18" s="2" t="s">
        <v>68</v>
      </c>
      <c r="EWR18" s="7"/>
      <c r="EWS18"/>
      <c r="EWT18"/>
      <c r="EWU18" s="10">
        <v>-1.01</v>
      </c>
      <c r="EWV18" s="2" t="s">
        <v>65</v>
      </c>
      <c r="EWW18" t="s">
        <v>14</v>
      </c>
      <c r="EWX18" s="5">
        <v>43521</v>
      </c>
      <c r="EWY18" s="2" t="s">
        <v>68</v>
      </c>
      <c r="EWZ18" s="7"/>
      <c r="EXA18"/>
      <c r="EXB18"/>
      <c r="EXC18" s="10">
        <v>-1.01</v>
      </c>
      <c r="EXD18" s="2" t="s">
        <v>65</v>
      </c>
      <c r="EXE18" t="s">
        <v>14</v>
      </c>
      <c r="EXF18" s="5">
        <v>43521</v>
      </c>
      <c r="EXG18" s="2" t="s">
        <v>68</v>
      </c>
      <c r="EXH18" s="7"/>
      <c r="EXI18"/>
      <c r="EXJ18"/>
      <c r="EXK18" s="10">
        <v>-1.01</v>
      </c>
      <c r="EXL18" s="2" t="s">
        <v>65</v>
      </c>
      <c r="EXM18" t="s">
        <v>14</v>
      </c>
      <c r="EXN18" s="5">
        <v>43521</v>
      </c>
      <c r="EXO18" s="2" t="s">
        <v>68</v>
      </c>
      <c r="EXP18" s="7"/>
      <c r="EXQ18"/>
      <c r="EXR18"/>
      <c r="EXS18" s="10">
        <v>-1.01</v>
      </c>
      <c r="EXT18" s="2" t="s">
        <v>65</v>
      </c>
      <c r="EXU18" t="s">
        <v>14</v>
      </c>
      <c r="EXV18" s="5">
        <v>43521</v>
      </c>
      <c r="EXW18" s="2" t="s">
        <v>68</v>
      </c>
      <c r="EXX18" s="7"/>
      <c r="EXY18"/>
      <c r="EXZ18"/>
      <c r="EYA18" s="10">
        <v>-1.01</v>
      </c>
      <c r="EYB18" s="2" t="s">
        <v>65</v>
      </c>
      <c r="EYC18" t="s">
        <v>14</v>
      </c>
      <c r="EYD18" s="5">
        <v>43521</v>
      </c>
      <c r="EYE18" s="2" t="s">
        <v>68</v>
      </c>
      <c r="EYF18" s="7"/>
      <c r="EYG18"/>
      <c r="EYH18"/>
      <c r="EYI18" s="10">
        <v>-1.01</v>
      </c>
      <c r="EYJ18" s="2" t="s">
        <v>65</v>
      </c>
      <c r="EYK18" t="s">
        <v>14</v>
      </c>
      <c r="EYL18" s="5">
        <v>43521</v>
      </c>
      <c r="EYM18" s="2" t="s">
        <v>68</v>
      </c>
      <c r="EYN18" s="7"/>
      <c r="EYO18"/>
      <c r="EYP18"/>
      <c r="EYQ18" s="10">
        <v>-1.01</v>
      </c>
      <c r="EYR18" s="2" t="s">
        <v>65</v>
      </c>
      <c r="EYS18" t="s">
        <v>14</v>
      </c>
      <c r="EYT18" s="5">
        <v>43521</v>
      </c>
      <c r="EYU18" s="2" t="s">
        <v>68</v>
      </c>
      <c r="EYV18" s="7"/>
      <c r="EYW18"/>
      <c r="EYX18"/>
      <c r="EYY18" s="10">
        <v>-1.01</v>
      </c>
      <c r="EYZ18" s="2" t="s">
        <v>65</v>
      </c>
      <c r="EZA18" t="s">
        <v>14</v>
      </c>
      <c r="EZB18" s="5">
        <v>43521</v>
      </c>
      <c r="EZC18" s="2" t="s">
        <v>68</v>
      </c>
      <c r="EZD18" s="7"/>
      <c r="EZE18"/>
      <c r="EZF18"/>
      <c r="EZG18" s="10">
        <v>-1.01</v>
      </c>
      <c r="EZH18" s="2" t="s">
        <v>65</v>
      </c>
      <c r="EZI18" t="s">
        <v>14</v>
      </c>
      <c r="EZJ18" s="5">
        <v>43521</v>
      </c>
      <c r="EZK18" s="2" t="s">
        <v>68</v>
      </c>
      <c r="EZL18" s="7"/>
      <c r="EZM18"/>
      <c r="EZN18"/>
      <c r="EZO18" s="10">
        <v>-1.01</v>
      </c>
      <c r="EZP18" s="2" t="s">
        <v>65</v>
      </c>
      <c r="EZQ18" t="s">
        <v>14</v>
      </c>
      <c r="EZR18" s="5">
        <v>43521</v>
      </c>
      <c r="EZS18" s="2" t="s">
        <v>68</v>
      </c>
      <c r="EZT18" s="7"/>
      <c r="EZU18"/>
      <c r="EZV18"/>
      <c r="EZW18" s="10">
        <v>-1.01</v>
      </c>
      <c r="EZX18" s="2" t="s">
        <v>65</v>
      </c>
      <c r="EZY18" t="s">
        <v>14</v>
      </c>
      <c r="EZZ18" s="5">
        <v>43521</v>
      </c>
      <c r="FAA18" s="2" t="s">
        <v>68</v>
      </c>
      <c r="FAB18" s="7"/>
      <c r="FAC18"/>
      <c r="FAD18"/>
      <c r="FAE18" s="10">
        <v>-1.01</v>
      </c>
      <c r="FAF18" s="2" t="s">
        <v>65</v>
      </c>
      <c r="FAG18" t="s">
        <v>14</v>
      </c>
      <c r="FAH18" s="5">
        <v>43521</v>
      </c>
      <c r="FAI18" s="2" t="s">
        <v>68</v>
      </c>
      <c r="FAJ18" s="7"/>
      <c r="FAK18"/>
      <c r="FAL18"/>
      <c r="FAM18" s="10">
        <v>-1.01</v>
      </c>
      <c r="FAN18" s="2" t="s">
        <v>65</v>
      </c>
      <c r="FAO18" t="s">
        <v>14</v>
      </c>
      <c r="FAP18" s="5">
        <v>43521</v>
      </c>
      <c r="FAQ18" s="2" t="s">
        <v>68</v>
      </c>
      <c r="FAR18" s="7"/>
      <c r="FAS18"/>
      <c r="FAT18"/>
      <c r="FAU18" s="10">
        <v>-1.01</v>
      </c>
      <c r="FAV18" s="2" t="s">
        <v>65</v>
      </c>
      <c r="FAW18" t="s">
        <v>14</v>
      </c>
      <c r="FAX18" s="5">
        <v>43521</v>
      </c>
      <c r="FAY18" s="2" t="s">
        <v>68</v>
      </c>
      <c r="FAZ18" s="7"/>
      <c r="FBA18"/>
      <c r="FBB18"/>
      <c r="FBC18" s="10">
        <v>-1.01</v>
      </c>
      <c r="FBD18" s="2" t="s">
        <v>65</v>
      </c>
      <c r="FBE18" t="s">
        <v>14</v>
      </c>
      <c r="FBF18" s="5">
        <v>43521</v>
      </c>
      <c r="FBG18" s="2" t="s">
        <v>68</v>
      </c>
      <c r="FBH18" s="7"/>
      <c r="FBI18"/>
      <c r="FBJ18"/>
      <c r="FBK18" s="10">
        <v>-1.01</v>
      </c>
      <c r="FBL18" s="2" t="s">
        <v>65</v>
      </c>
      <c r="FBM18" t="s">
        <v>14</v>
      </c>
      <c r="FBN18" s="5">
        <v>43521</v>
      </c>
      <c r="FBO18" s="2" t="s">
        <v>68</v>
      </c>
      <c r="FBP18" s="7"/>
      <c r="FBQ18"/>
      <c r="FBR18"/>
      <c r="FBS18" s="10">
        <v>-1.01</v>
      </c>
      <c r="FBT18" s="2" t="s">
        <v>65</v>
      </c>
      <c r="FBU18" t="s">
        <v>14</v>
      </c>
      <c r="FBV18" s="5">
        <v>43521</v>
      </c>
      <c r="FBW18" s="2" t="s">
        <v>68</v>
      </c>
      <c r="FBX18" s="7"/>
      <c r="FBY18"/>
      <c r="FBZ18"/>
      <c r="FCA18" s="10">
        <v>-1.01</v>
      </c>
      <c r="FCB18" s="2" t="s">
        <v>65</v>
      </c>
      <c r="FCC18" t="s">
        <v>14</v>
      </c>
      <c r="FCD18" s="5">
        <v>43521</v>
      </c>
      <c r="FCE18" s="2" t="s">
        <v>68</v>
      </c>
      <c r="FCF18" s="7"/>
      <c r="FCG18"/>
      <c r="FCH18"/>
      <c r="FCI18" s="10">
        <v>-1.01</v>
      </c>
      <c r="FCJ18" s="2" t="s">
        <v>65</v>
      </c>
      <c r="FCK18" t="s">
        <v>14</v>
      </c>
      <c r="FCL18" s="5">
        <v>43521</v>
      </c>
      <c r="FCM18" s="2" t="s">
        <v>68</v>
      </c>
      <c r="FCN18" s="7"/>
      <c r="FCO18"/>
      <c r="FCP18"/>
      <c r="FCQ18" s="10">
        <v>-1.01</v>
      </c>
      <c r="FCR18" s="2" t="s">
        <v>65</v>
      </c>
      <c r="FCS18" t="s">
        <v>14</v>
      </c>
      <c r="FCT18" s="5">
        <v>43521</v>
      </c>
      <c r="FCU18" s="2" t="s">
        <v>68</v>
      </c>
      <c r="FCV18" s="7"/>
      <c r="FCW18"/>
      <c r="FCX18"/>
      <c r="FCY18" s="10">
        <v>-1.01</v>
      </c>
      <c r="FCZ18" s="2" t="s">
        <v>65</v>
      </c>
      <c r="FDA18" t="s">
        <v>14</v>
      </c>
      <c r="FDB18" s="5">
        <v>43521</v>
      </c>
      <c r="FDC18" s="2" t="s">
        <v>68</v>
      </c>
      <c r="FDD18" s="7"/>
      <c r="FDE18"/>
      <c r="FDF18"/>
      <c r="FDG18" s="10">
        <v>-1.01</v>
      </c>
      <c r="FDH18" s="2" t="s">
        <v>65</v>
      </c>
      <c r="FDI18" t="s">
        <v>14</v>
      </c>
      <c r="FDJ18" s="5">
        <v>43521</v>
      </c>
      <c r="FDK18" s="2" t="s">
        <v>68</v>
      </c>
      <c r="FDL18" s="7"/>
      <c r="FDM18"/>
      <c r="FDN18"/>
      <c r="FDO18" s="10">
        <v>-1.01</v>
      </c>
      <c r="FDP18" s="2" t="s">
        <v>65</v>
      </c>
      <c r="FDQ18" t="s">
        <v>14</v>
      </c>
      <c r="FDR18" s="5">
        <v>43521</v>
      </c>
      <c r="FDS18" s="2" t="s">
        <v>68</v>
      </c>
      <c r="FDT18" s="7"/>
      <c r="FDU18"/>
      <c r="FDV18"/>
      <c r="FDW18" s="10">
        <v>-1.01</v>
      </c>
      <c r="FDX18" s="2" t="s">
        <v>65</v>
      </c>
      <c r="FDY18" t="s">
        <v>14</v>
      </c>
      <c r="FDZ18" s="5">
        <v>43521</v>
      </c>
      <c r="FEA18" s="2" t="s">
        <v>68</v>
      </c>
      <c r="FEB18" s="7"/>
      <c r="FEC18"/>
      <c r="FED18"/>
      <c r="FEE18" s="10">
        <v>-1.01</v>
      </c>
      <c r="FEF18" s="2" t="s">
        <v>65</v>
      </c>
      <c r="FEG18" t="s">
        <v>14</v>
      </c>
      <c r="FEH18" s="5">
        <v>43521</v>
      </c>
      <c r="FEI18" s="2" t="s">
        <v>68</v>
      </c>
      <c r="FEJ18" s="7"/>
      <c r="FEK18"/>
      <c r="FEL18"/>
      <c r="FEM18" s="10">
        <v>-1.01</v>
      </c>
      <c r="FEN18" s="2" t="s">
        <v>65</v>
      </c>
      <c r="FEO18" t="s">
        <v>14</v>
      </c>
      <c r="FEP18" s="5">
        <v>43521</v>
      </c>
      <c r="FEQ18" s="2" t="s">
        <v>68</v>
      </c>
      <c r="FER18" s="7"/>
      <c r="FES18"/>
      <c r="FET18"/>
      <c r="FEU18" s="10">
        <v>-1.01</v>
      </c>
      <c r="FEV18" s="2" t="s">
        <v>65</v>
      </c>
      <c r="FEW18" t="s">
        <v>14</v>
      </c>
      <c r="FEX18" s="5">
        <v>43521</v>
      </c>
      <c r="FEY18" s="2" t="s">
        <v>68</v>
      </c>
      <c r="FEZ18" s="7"/>
      <c r="FFA18"/>
      <c r="FFB18"/>
      <c r="FFC18" s="10">
        <v>-1.01</v>
      </c>
      <c r="FFD18" s="2" t="s">
        <v>65</v>
      </c>
      <c r="FFE18" t="s">
        <v>14</v>
      </c>
      <c r="FFF18" s="5">
        <v>43521</v>
      </c>
      <c r="FFG18" s="2" t="s">
        <v>68</v>
      </c>
      <c r="FFH18" s="7"/>
      <c r="FFI18"/>
      <c r="FFJ18"/>
      <c r="FFK18" s="10">
        <v>-1.01</v>
      </c>
      <c r="FFL18" s="2" t="s">
        <v>65</v>
      </c>
      <c r="FFM18" t="s">
        <v>14</v>
      </c>
      <c r="FFN18" s="5">
        <v>43521</v>
      </c>
      <c r="FFO18" s="2" t="s">
        <v>68</v>
      </c>
      <c r="FFP18" s="7"/>
      <c r="FFQ18"/>
      <c r="FFR18"/>
      <c r="FFS18" s="10">
        <v>-1.01</v>
      </c>
      <c r="FFT18" s="2" t="s">
        <v>65</v>
      </c>
      <c r="FFU18" t="s">
        <v>14</v>
      </c>
      <c r="FFV18" s="5">
        <v>43521</v>
      </c>
      <c r="FFW18" s="2" t="s">
        <v>68</v>
      </c>
      <c r="FFX18" s="7"/>
      <c r="FFY18"/>
      <c r="FFZ18"/>
      <c r="FGA18" s="10">
        <v>-1.01</v>
      </c>
      <c r="FGB18" s="2" t="s">
        <v>65</v>
      </c>
      <c r="FGC18" t="s">
        <v>14</v>
      </c>
      <c r="FGD18" s="5">
        <v>43521</v>
      </c>
      <c r="FGE18" s="2" t="s">
        <v>68</v>
      </c>
      <c r="FGF18" s="7"/>
      <c r="FGG18"/>
      <c r="FGH18"/>
      <c r="FGI18" s="10">
        <v>-1.01</v>
      </c>
      <c r="FGJ18" s="2" t="s">
        <v>65</v>
      </c>
      <c r="FGK18" t="s">
        <v>14</v>
      </c>
      <c r="FGL18" s="5">
        <v>43521</v>
      </c>
      <c r="FGM18" s="2" t="s">
        <v>68</v>
      </c>
      <c r="FGN18" s="7"/>
      <c r="FGO18"/>
      <c r="FGP18"/>
      <c r="FGQ18" s="10">
        <v>-1.01</v>
      </c>
      <c r="FGR18" s="2" t="s">
        <v>65</v>
      </c>
      <c r="FGS18" t="s">
        <v>14</v>
      </c>
      <c r="FGT18" s="5">
        <v>43521</v>
      </c>
      <c r="FGU18" s="2" t="s">
        <v>68</v>
      </c>
      <c r="FGV18" s="7"/>
      <c r="FGW18"/>
      <c r="FGX18"/>
      <c r="FGY18" s="10">
        <v>-1.01</v>
      </c>
      <c r="FGZ18" s="2" t="s">
        <v>65</v>
      </c>
      <c r="FHA18" t="s">
        <v>14</v>
      </c>
      <c r="FHB18" s="5">
        <v>43521</v>
      </c>
      <c r="FHC18" s="2" t="s">
        <v>68</v>
      </c>
      <c r="FHD18" s="7"/>
      <c r="FHE18"/>
      <c r="FHF18"/>
      <c r="FHG18" s="10">
        <v>-1.01</v>
      </c>
      <c r="FHH18" s="2" t="s">
        <v>65</v>
      </c>
      <c r="FHI18" t="s">
        <v>14</v>
      </c>
      <c r="FHJ18" s="5">
        <v>43521</v>
      </c>
      <c r="FHK18" s="2" t="s">
        <v>68</v>
      </c>
      <c r="FHL18" s="7"/>
      <c r="FHM18"/>
      <c r="FHN18"/>
      <c r="FHO18" s="10">
        <v>-1.01</v>
      </c>
      <c r="FHP18" s="2" t="s">
        <v>65</v>
      </c>
      <c r="FHQ18" t="s">
        <v>14</v>
      </c>
      <c r="FHR18" s="5">
        <v>43521</v>
      </c>
      <c r="FHS18" s="2" t="s">
        <v>68</v>
      </c>
      <c r="FHT18" s="7"/>
      <c r="FHU18"/>
      <c r="FHV18"/>
      <c r="FHW18" s="10">
        <v>-1.01</v>
      </c>
      <c r="FHX18" s="2" t="s">
        <v>65</v>
      </c>
      <c r="FHY18" t="s">
        <v>14</v>
      </c>
      <c r="FHZ18" s="5">
        <v>43521</v>
      </c>
      <c r="FIA18" s="2" t="s">
        <v>68</v>
      </c>
      <c r="FIB18" s="7"/>
      <c r="FIC18"/>
      <c r="FID18"/>
      <c r="FIE18" s="10">
        <v>-1.01</v>
      </c>
      <c r="FIF18" s="2" t="s">
        <v>65</v>
      </c>
      <c r="FIG18" t="s">
        <v>14</v>
      </c>
      <c r="FIH18" s="5">
        <v>43521</v>
      </c>
      <c r="FII18" s="2" t="s">
        <v>68</v>
      </c>
      <c r="FIJ18" s="7"/>
      <c r="FIK18"/>
      <c r="FIL18"/>
      <c r="FIM18" s="10">
        <v>-1.01</v>
      </c>
      <c r="FIN18" s="2" t="s">
        <v>65</v>
      </c>
      <c r="FIO18" t="s">
        <v>14</v>
      </c>
      <c r="FIP18" s="5">
        <v>43521</v>
      </c>
      <c r="FIQ18" s="2" t="s">
        <v>68</v>
      </c>
      <c r="FIR18" s="7"/>
      <c r="FIS18"/>
      <c r="FIT18"/>
      <c r="FIU18" s="10">
        <v>-1.01</v>
      </c>
      <c r="FIV18" s="2" t="s">
        <v>65</v>
      </c>
      <c r="FIW18" t="s">
        <v>14</v>
      </c>
      <c r="FIX18" s="5">
        <v>43521</v>
      </c>
      <c r="FIY18" s="2" t="s">
        <v>68</v>
      </c>
      <c r="FIZ18" s="7"/>
      <c r="FJA18"/>
      <c r="FJB18"/>
      <c r="FJC18" s="10">
        <v>-1.01</v>
      </c>
      <c r="FJD18" s="2" t="s">
        <v>65</v>
      </c>
      <c r="FJE18" t="s">
        <v>14</v>
      </c>
      <c r="FJF18" s="5">
        <v>43521</v>
      </c>
      <c r="FJG18" s="2" t="s">
        <v>68</v>
      </c>
      <c r="FJH18" s="7"/>
      <c r="FJI18"/>
      <c r="FJJ18"/>
      <c r="FJK18" s="10">
        <v>-1.01</v>
      </c>
      <c r="FJL18" s="2" t="s">
        <v>65</v>
      </c>
      <c r="FJM18" t="s">
        <v>14</v>
      </c>
      <c r="FJN18" s="5">
        <v>43521</v>
      </c>
      <c r="FJO18" s="2" t="s">
        <v>68</v>
      </c>
      <c r="FJP18" s="7"/>
      <c r="FJQ18"/>
      <c r="FJR18"/>
      <c r="FJS18" s="10">
        <v>-1.01</v>
      </c>
      <c r="FJT18" s="2" t="s">
        <v>65</v>
      </c>
      <c r="FJU18" t="s">
        <v>14</v>
      </c>
      <c r="FJV18" s="5">
        <v>43521</v>
      </c>
      <c r="FJW18" s="2" t="s">
        <v>68</v>
      </c>
      <c r="FJX18" s="7"/>
      <c r="FJY18"/>
      <c r="FJZ18"/>
      <c r="FKA18" s="10">
        <v>-1.01</v>
      </c>
      <c r="FKB18" s="2" t="s">
        <v>65</v>
      </c>
      <c r="FKC18" t="s">
        <v>14</v>
      </c>
      <c r="FKD18" s="5">
        <v>43521</v>
      </c>
      <c r="FKE18" s="2" t="s">
        <v>68</v>
      </c>
      <c r="FKF18" s="7"/>
      <c r="FKG18"/>
      <c r="FKH18"/>
      <c r="FKI18" s="10">
        <v>-1.01</v>
      </c>
      <c r="FKJ18" s="2" t="s">
        <v>65</v>
      </c>
      <c r="FKK18" t="s">
        <v>14</v>
      </c>
      <c r="FKL18" s="5">
        <v>43521</v>
      </c>
      <c r="FKM18" s="2" t="s">
        <v>68</v>
      </c>
      <c r="FKN18" s="7"/>
      <c r="FKO18"/>
      <c r="FKP18"/>
      <c r="FKQ18" s="10">
        <v>-1.01</v>
      </c>
      <c r="FKR18" s="2" t="s">
        <v>65</v>
      </c>
      <c r="FKS18" t="s">
        <v>14</v>
      </c>
      <c r="FKT18" s="5">
        <v>43521</v>
      </c>
      <c r="FKU18" s="2" t="s">
        <v>68</v>
      </c>
      <c r="FKV18" s="7"/>
      <c r="FKW18"/>
      <c r="FKX18"/>
      <c r="FKY18" s="10">
        <v>-1.01</v>
      </c>
      <c r="FKZ18" s="2" t="s">
        <v>65</v>
      </c>
      <c r="FLA18" t="s">
        <v>14</v>
      </c>
      <c r="FLB18" s="5">
        <v>43521</v>
      </c>
      <c r="FLC18" s="2" t="s">
        <v>68</v>
      </c>
      <c r="FLD18" s="7"/>
      <c r="FLE18"/>
      <c r="FLF18"/>
      <c r="FLG18" s="10">
        <v>-1.01</v>
      </c>
      <c r="FLH18" s="2" t="s">
        <v>65</v>
      </c>
      <c r="FLI18" t="s">
        <v>14</v>
      </c>
      <c r="FLJ18" s="5">
        <v>43521</v>
      </c>
      <c r="FLK18" s="2" t="s">
        <v>68</v>
      </c>
      <c r="FLL18" s="7"/>
      <c r="FLM18"/>
      <c r="FLN18"/>
      <c r="FLO18" s="10">
        <v>-1.01</v>
      </c>
      <c r="FLP18" s="2" t="s">
        <v>65</v>
      </c>
      <c r="FLQ18" t="s">
        <v>14</v>
      </c>
      <c r="FLR18" s="5">
        <v>43521</v>
      </c>
      <c r="FLS18" s="2" t="s">
        <v>68</v>
      </c>
      <c r="FLT18" s="7"/>
      <c r="FLU18"/>
      <c r="FLV18"/>
      <c r="FLW18" s="10">
        <v>-1.01</v>
      </c>
      <c r="FLX18" s="2" t="s">
        <v>65</v>
      </c>
      <c r="FLY18" t="s">
        <v>14</v>
      </c>
      <c r="FLZ18" s="5">
        <v>43521</v>
      </c>
      <c r="FMA18" s="2" t="s">
        <v>68</v>
      </c>
      <c r="FMB18" s="7"/>
      <c r="FMC18"/>
      <c r="FMD18"/>
      <c r="FME18" s="10">
        <v>-1.01</v>
      </c>
      <c r="FMF18" s="2" t="s">
        <v>65</v>
      </c>
      <c r="FMG18" t="s">
        <v>14</v>
      </c>
      <c r="FMH18" s="5">
        <v>43521</v>
      </c>
      <c r="FMI18" s="2" t="s">
        <v>68</v>
      </c>
      <c r="FMJ18" s="7"/>
      <c r="FMK18"/>
      <c r="FML18"/>
      <c r="FMM18" s="10">
        <v>-1.01</v>
      </c>
      <c r="FMN18" s="2" t="s">
        <v>65</v>
      </c>
      <c r="FMO18" t="s">
        <v>14</v>
      </c>
      <c r="FMP18" s="5">
        <v>43521</v>
      </c>
      <c r="FMQ18" s="2" t="s">
        <v>68</v>
      </c>
      <c r="FMR18" s="7"/>
      <c r="FMS18"/>
      <c r="FMT18"/>
      <c r="FMU18" s="10">
        <v>-1.01</v>
      </c>
      <c r="FMV18" s="2" t="s">
        <v>65</v>
      </c>
      <c r="FMW18" t="s">
        <v>14</v>
      </c>
      <c r="FMX18" s="5">
        <v>43521</v>
      </c>
      <c r="FMY18" s="2" t="s">
        <v>68</v>
      </c>
      <c r="FMZ18" s="7"/>
      <c r="FNA18"/>
      <c r="FNB18"/>
      <c r="FNC18" s="10">
        <v>-1.01</v>
      </c>
      <c r="FND18" s="2" t="s">
        <v>65</v>
      </c>
      <c r="FNE18" t="s">
        <v>14</v>
      </c>
      <c r="FNF18" s="5">
        <v>43521</v>
      </c>
      <c r="FNG18" s="2" t="s">
        <v>68</v>
      </c>
      <c r="FNH18" s="7"/>
      <c r="FNI18"/>
      <c r="FNJ18"/>
      <c r="FNK18" s="10">
        <v>-1.01</v>
      </c>
      <c r="FNL18" s="2" t="s">
        <v>65</v>
      </c>
      <c r="FNM18" t="s">
        <v>14</v>
      </c>
      <c r="FNN18" s="5">
        <v>43521</v>
      </c>
      <c r="FNO18" s="2" t="s">
        <v>68</v>
      </c>
      <c r="FNP18" s="7"/>
      <c r="FNQ18"/>
      <c r="FNR18"/>
      <c r="FNS18" s="10">
        <v>-1.01</v>
      </c>
      <c r="FNT18" s="2" t="s">
        <v>65</v>
      </c>
      <c r="FNU18" t="s">
        <v>14</v>
      </c>
      <c r="FNV18" s="5">
        <v>43521</v>
      </c>
      <c r="FNW18" s="2" t="s">
        <v>68</v>
      </c>
      <c r="FNX18" s="7"/>
      <c r="FNY18"/>
      <c r="FNZ18"/>
      <c r="FOA18" s="10">
        <v>-1.01</v>
      </c>
      <c r="FOB18" s="2" t="s">
        <v>65</v>
      </c>
      <c r="FOC18" t="s">
        <v>14</v>
      </c>
      <c r="FOD18" s="5">
        <v>43521</v>
      </c>
      <c r="FOE18" s="2" t="s">
        <v>68</v>
      </c>
      <c r="FOF18" s="7"/>
      <c r="FOG18"/>
      <c r="FOH18"/>
      <c r="FOI18" s="10">
        <v>-1.01</v>
      </c>
      <c r="FOJ18" s="2" t="s">
        <v>65</v>
      </c>
      <c r="FOK18" t="s">
        <v>14</v>
      </c>
      <c r="FOL18" s="5">
        <v>43521</v>
      </c>
      <c r="FOM18" s="2" t="s">
        <v>68</v>
      </c>
      <c r="FON18" s="7"/>
      <c r="FOO18"/>
      <c r="FOP18"/>
      <c r="FOQ18" s="10">
        <v>-1.01</v>
      </c>
      <c r="FOR18" s="2" t="s">
        <v>65</v>
      </c>
      <c r="FOS18" t="s">
        <v>14</v>
      </c>
      <c r="FOT18" s="5">
        <v>43521</v>
      </c>
      <c r="FOU18" s="2" t="s">
        <v>68</v>
      </c>
      <c r="FOV18" s="7"/>
      <c r="FOW18"/>
      <c r="FOX18"/>
      <c r="FOY18" s="10">
        <v>-1.01</v>
      </c>
      <c r="FOZ18" s="2" t="s">
        <v>65</v>
      </c>
      <c r="FPA18" t="s">
        <v>14</v>
      </c>
      <c r="FPB18" s="5">
        <v>43521</v>
      </c>
      <c r="FPC18" s="2" t="s">
        <v>68</v>
      </c>
      <c r="FPD18" s="7"/>
      <c r="FPE18"/>
      <c r="FPF18"/>
      <c r="FPG18" s="10">
        <v>-1.01</v>
      </c>
      <c r="FPH18" s="2" t="s">
        <v>65</v>
      </c>
      <c r="FPI18" t="s">
        <v>14</v>
      </c>
      <c r="FPJ18" s="5">
        <v>43521</v>
      </c>
      <c r="FPK18" s="2" t="s">
        <v>68</v>
      </c>
      <c r="FPL18" s="7"/>
      <c r="FPM18"/>
      <c r="FPN18"/>
      <c r="FPO18" s="10">
        <v>-1.01</v>
      </c>
      <c r="FPP18" s="2" t="s">
        <v>65</v>
      </c>
      <c r="FPQ18" t="s">
        <v>14</v>
      </c>
      <c r="FPR18" s="5">
        <v>43521</v>
      </c>
      <c r="FPS18" s="2" t="s">
        <v>68</v>
      </c>
      <c r="FPT18" s="7"/>
      <c r="FPU18"/>
      <c r="FPV18"/>
      <c r="FPW18" s="10">
        <v>-1.01</v>
      </c>
      <c r="FPX18" s="2" t="s">
        <v>65</v>
      </c>
      <c r="FPY18" t="s">
        <v>14</v>
      </c>
      <c r="FPZ18" s="5">
        <v>43521</v>
      </c>
      <c r="FQA18" s="2" t="s">
        <v>68</v>
      </c>
      <c r="FQB18" s="7"/>
      <c r="FQC18"/>
      <c r="FQD18"/>
      <c r="FQE18" s="10">
        <v>-1.01</v>
      </c>
      <c r="FQF18" s="2" t="s">
        <v>65</v>
      </c>
      <c r="FQG18" t="s">
        <v>14</v>
      </c>
      <c r="FQH18" s="5">
        <v>43521</v>
      </c>
      <c r="FQI18" s="2" t="s">
        <v>68</v>
      </c>
      <c r="FQJ18" s="7"/>
      <c r="FQK18"/>
      <c r="FQL18"/>
      <c r="FQM18" s="10">
        <v>-1.01</v>
      </c>
      <c r="FQN18" s="2" t="s">
        <v>65</v>
      </c>
      <c r="FQO18" t="s">
        <v>14</v>
      </c>
      <c r="FQP18" s="5">
        <v>43521</v>
      </c>
      <c r="FQQ18" s="2" t="s">
        <v>68</v>
      </c>
      <c r="FQR18" s="7"/>
      <c r="FQS18"/>
      <c r="FQT18"/>
      <c r="FQU18" s="10">
        <v>-1.01</v>
      </c>
      <c r="FQV18" s="2" t="s">
        <v>65</v>
      </c>
      <c r="FQW18" t="s">
        <v>14</v>
      </c>
      <c r="FQX18" s="5">
        <v>43521</v>
      </c>
      <c r="FQY18" s="2" t="s">
        <v>68</v>
      </c>
      <c r="FQZ18" s="7"/>
      <c r="FRA18"/>
      <c r="FRB18"/>
      <c r="FRC18" s="10">
        <v>-1.01</v>
      </c>
      <c r="FRD18" s="2" t="s">
        <v>65</v>
      </c>
      <c r="FRE18" t="s">
        <v>14</v>
      </c>
      <c r="FRF18" s="5">
        <v>43521</v>
      </c>
      <c r="FRG18" s="2" t="s">
        <v>68</v>
      </c>
      <c r="FRH18" s="7"/>
      <c r="FRI18"/>
      <c r="FRJ18"/>
      <c r="FRK18" s="10">
        <v>-1.01</v>
      </c>
      <c r="FRL18" s="2" t="s">
        <v>65</v>
      </c>
      <c r="FRM18" t="s">
        <v>14</v>
      </c>
      <c r="FRN18" s="5">
        <v>43521</v>
      </c>
      <c r="FRO18" s="2" t="s">
        <v>68</v>
      </c>
      <c r="FRP18" s="7"/>
      <c r="FRQ18"/>
      <c r="FRR18"/>
      <c r="FRS18" s="10">
        <v>-1.01</v>
      </c>
      <c r="FRT18" s="2" t="s">
        <v>65</v>
      </c>
      <c r="FRU18" t="s">
        <v>14</v>
      </c>
      <c r="FRV18" s="5">
        <v>43521</v>
      </c>
      <c r="FRW18" s="2" t="s">
        <v>68</v>
      </c>
      <c r="FRX18" s="7"/>
      <c r="FRY18"/>
      <c r="FRZ18"/>
      <c r="FSA18" s="10">
        <v>-1.01</v>
      </c>
      <c r="FSB18" s="2" t="s">
        <v>65</v>
      </c>
      <c r="FSC18" t="s">
        <v>14</v>
      </c>
      <c r="FSD18" s="5">
        <v>43521</v>
      </c>
      <c r="FSE18" s="2" t="s">
        <v>68</v>
      </c>
      <c r="FSF18" s="7"/>
      <c r="FSG18"/>
      <c r="FSH18"/>
      <c r="FSI18" s="10">
        <v>-1.01</v>
      </c>
      <c r="FSJ18" s="2" t="s">
        <v>65</v>
      </c>
      <c r="FSK18" t="s">
        <v>14</v>
      </c>
      <c r="FSL18" s="5">
        <v>43521</v>
      </c>
      <c r="FSM18" s="2" t="s">
        <v>68</v>
      </c>
      <c r="FSN18" s="7"/>
      <c r="FSO18"/>
      <c r="FSP18"/>
      <c r="FSQ18" s="10">
        <v>-1.01</v>
      </c>
      <c r="FSR18" s="2" t="s">
        <v>65</v>
      </c>
      <c r="FSS18" t="s">
        <v>14</v>
      </c>
      <c r="FST18" s="5">
        <v>43521</v>
      </c>
      <c r="FSU18" s="2" t="s">
        <v>68</v>
      </c>
      <c r="FSV18" s="7"/>
      <c r="FSW18"/>
      <c r="FSX18"/>
      <c r="FSY18" s="10">
        <v>-1.01</v>
      </c>
      <c r="FSZ18" s="2" t="s">
        <v>65</v>
      </c>
      <c r="FTA18" t="s">
        <v>14</v>
      </c>
      <c r="FTB18" s="5">
        <v>43521</v>
      </c>
      <c r="FTC18" s="2" t="s">
        <v>68</v>
      </c>
      <c r="FTD18" s="7"/>
      <c r="FTE18"/>
      <c r="FTF18"/>
      <c r="FTG18" s="10">
        <v>-1.01</v>
      </c>
      <c r="FTH18" s="2" t="s">
        <v>65</v>
      </c>
      <c r="FTI18" t="s">
        <v>14</v>
      </c>
      <c r="FTJ18" s="5">
        <v>43521</v>
      </c>
      <c r="FTK18" s="2" t="s">
        <v>68</v>
      </c>
      <c r="FTL18" s="7"/>
      <c r="FTM18"/>
      <c r="FTN18"/>
      <c r="FTO18" s="10">
        <v>-1.01</v>
      </c>
      <c r="FTP18" s="2" t="s">
        <v>65</v>
      </c>
      <c r="FTQ18" t="s">
        <v>14</v>
      </c>
      <c r="FTR18" s="5">
        <v>43521</v>
      </c>
      <c r="FTS18" s="2" t="s">
        <v>68</v>
      </c>
      <c r="FTT18" s="7"/>
      <c r="FTU18"/>
      <c r="FTV18"/>
      <c r="FTW18" s="10">
        <v>-1.01</v>
      </c>
      <c r="FTX18" s="2" t="s">
        <v>65</v>
      </c>
      <c r="FTY18" t="s">
        <v>14</v>
      </c>
      <c r="FTZ18" s="5">
        <v>43521</v>
      </c>
      <c r="FUA18" s="2" t="s">
        <v>68</v>
      </c>
      <c r="FUB18" s="7"/>
      <c r="FUC18"/>
      <c r="FUD18"/>
      <c r="FUE18" s="10">
        <v>-1.01</v>
      </c>
      <c r="FUF18" s="2" t="s">
        <v>65</v>
      </c>
      <c r="FUG18" t="s">
        <v>14</v>
      </c>
      <c r="FUH18" s="5">
        <v>43521</v>
      </c>
      <c r="FUI18" s="2" t="s">
        <v>68</v>
      </c>
      <c r="FUJ18" s="7"/>
      <c r="FUK18"/>
      <c r="FUL18"/>
      <c r="FUM18" s="10">
        <v>-1.01</v>
      </c>
      <c r="FUN18" s="2" t="s">
        <v>65</v>
      </c>
      <c r="FUO18" t="s">
        <v>14</v>
      </c>
      <c r="FUP18" s="5">
        <v>43521</v>
      </c>
      <c r="FUQ18" s="2" t="s">
        <v>68</v>
      </c>
      <c r="FUR18" s="7"/>
      <c r="FUS18"/>
      <c r="FUT18"/>
      <c r="FUU18" s="10">
        <v>-1.01</v>
      </c>
      <c r="FUV18" s="2" t="s">
        <v>65</v>
      </c>
      <c r="FUW18" t="s">
        <v>14</v>
      </c>
      <c r="FUX18" s="5">
        <v>43521</v>
      </c>
      <c r="FUY18" s="2" t="s">
        <v>68</v>
      </c>
      <c r="FUZ18" s="7"/>
      <c r="FVA18"/>
      <c r="FVB18"/>
      <c r="FVC18" s="10">
        <v>-1.01</v>
      </c>
      <c r="FVD18" s="2" t="s">
        <v>65</v>
      </c>
      <c r="FVE18" t="s">
        <v>14</v>
      </c>
      <c r="FVF18" s="5">
        <v>43521</v>
      </c>
      <c r="FVG18" s="2" t="s">
        <v>68</v>
      </c>
      <c r="FVH18" s="7"/>
      <c r="FVI18"/>
      <c r="FVJ18"/>
      <c r="FVK18" s="10">
        <v>-1.01</v>
      </c>
      <c r="FVL18" s="2" t="s">
        <v>65</v>
      </c>
      <c r="FVM18" t="s">
        <v>14</v>
      </c>
      <c r="FVN18" s="5">
        <v>43521</v>
      </c>
      <c r="FVO18" s="2" t="s">
        <v>68</v>
      </c>
      <c r="FVP18" s="7"/>
      <c r="FVQ18"/>
      <c r="FVR18"/>
      <c r="FVS18" s="10">
        <v>-1.01</v>
      </c>
      <c r="FVT18" s="2" t="s">
        <v>65</v>
      </c>
      <c r="FVU18" t="s">
        <v>14</v>
      </c>
      <c r="FVV18" s="5">
        <v>43521</v>
      </c>
      <c r="FVW18" s="2" t="s">
        <v>68</v>
      </c>
      <c r="FVX18" s="7"/>
      <c r="FVY18"/>
      <c r="FVZ18"/>
      <c r="FWA18" s="10">
        <v>-1.01</v>
      </c>
      <c r="FWB18" s="2" t="s">
        <v>65</v>
      </c>
      <c r="FWC18" t="s">
        <v>14</v>
      </c>
      <c r="FWD18" s="5">
        <v>43521</v>
      </c>
      <c r="FWE18" s="2" t="s">
        <v>68</v>
      </c>
      <c r="FWF18" s="7"/>
      <c r="FWG18"/>
      <c r="FWH18"/>
      <c r="FWI18" s="10">
        <v>-1.01</v>
      </c>
      <c r="FWJ18" s="2" t="s">
        <v>65</v>
      </c>
      <c r="FWK18" t="s">
        <v>14</v>
      </c>
      <c r="FWL18" s="5">
        <v>43521</v>
      </c>
      <c r="FWM18" s="2" t="s">
        <v>68</v>
      </c>
      <c r="FWN18" s="7"/>
      <c r="FWO18"/>
      <c r="FWP18"/>
      <c r="FWQ18" s="10">
        <v>-1.01</v>
      </c>
      <c r="FWR18" s="2" t="s">
        <v>65</v>
      </c>
      <c r="FWS18" t="s">
        <v>14</v>
      </c>
      <c r="FWT18" s="5">
        <v>43521</v>
      </c>
      <c r="FWU18" s="2" t="s">
        <v>68</v>
      </c>
      <c r="FWV18" s="7"/>
      <c r="FWW18"/>
      <c r="FWX18"/>
      <c r="FWY18" s="10">
        <v>-1.01</v>
      </c>
      <c r="FWZ18" s="2" t="s">
        <v>65</v>
      </c>
      <c r="FXA18" t="s">
        <v>14</v>
      </c>
      <c r="FXB18" s="5">
        <v>43521</v>
      </c>
      <c r="FXC18" s="2" t="s">
        <v>68</v>
      </c>
      <c r="FXD18" s="7"/>
      <c r="FXE18"/>
      <c r="FXF18"/>
      <c r="FXG18" s="10">
        <v>-1.01</v>
      </c>
      <c r="FXH18" s="2" t="s">
        <v>65</v>
      </c>
      <c r="FXI18" t="s">
        <v>14</v>
      </c>
      <c r="FXJ18" s="5">
        <v>43521</v>
      </c>
      <c r="FXK18" s="2" t="s">
        <v>68</v>
      </c>
      <c r="FXL18" s="7"/>
      <c r="FXM18"/>
      <c r="FXN18"/>
      <c r="FXO18" s="10">
        <v>-1.01</v>
      </c>
      <c r="FXP18" s="2" t="s">
        <v>65</v>
      </c>
      <c r="FXQ18" t="s">
        <v>14</v>
      </c>
      <c r="FXR18" s="5">
        <v>43521</v>
      </c>
      <c r="FXS18" s="2" t="s">
        <v>68</v>
      </c>
      <c r="FXT18" s="7"/>
      <c r="FXU18"/>
      <c r="FXV18"/>
      <c r="FXW18" s="10">
        <v>-1.01</v>
      </c>
      <c r="FXX18" s="2" t="s">
        <v>65</v>
      </c>
      <c r="FXY18" t="s">
        <v>14</v>
      </c>
      <c r="FXZ18" s="5">
        <v>43521</v>
      </c>
      <c r="FYA18" s="2" t="s">
        <v>68</v>
      </c>
      <c r="FYB18" s="7"/>
      <c r="FYC18"/>
      <c r="FYD18"/>
      <c r="FYE18" s="10">
        <v>-1.01</v>
      </c>
      <c r="FYF18" s="2" t="s">
        <v>65</v>
      </c>
      <c r="FYG18" t="s">
        <v>14</v>
      </c>
      <c r="FYH18" s="5">
        <v>43521</v>
      </c>
      <c r="FYI18" s="2" t="s">
        <v>68</v>
      </c>
      <c r="FYJ18" s="7"/>
      <c r="FYK18"/>
      <c r="FYL18"/>
      <c r="FYM18" s="10">
        <v>-1.01</v>
      </c>
      <c r="FYN18" s="2" t="s">
        <v>65</v>
      </c>
      <c r="FYO18" t="s">
        <v>14</v>
      </c>
      <c r="FYP18" s="5">
        <v>43521</v>
      </c>
      <c r="FYQ18" s="2" t="s">
        <v>68</v>
      </c>
      <c r="FYR18" s="7"/>
      <c r="FYS18"/>
      <c r="FYT18"/>
      <c r="FYU18" s="10">
        <v>-1.01</v>
      </c>
      <c r="FYV18" s="2" t="s">
        <v>65</v>
      </c>
      <c r="FYW18" t="s">
        <v>14</v>
      </c>
      <c r="FYX18" s="5">
        <v>43521</v>
      </c>
      <c r="FYY18" s="2" t="s">
        <v>68</v>
      </c>
      <c r="FYZ18" s="7"/>
      <c r="FZA18"/>
      <c r="FZB18"/>
      <c r="FZC18" s="10">
        <v>-1.01</v>
      </c>
      <c r="FZD18" s="2" t="s">
        <v>65</v>
      </c>
      <c r="FZE18" t="s">
        <v>14</v>
      </c>
      <c r="FZF18" s="5">
        <v>43521</v>
      </c>
      <c r="FZG18" s="2" t="s">
        <v>68</v>
      </c>
      <c r="FZH18" s="7"/>
      <c r="FZI18"/>
      <c r="FZJ18"/>
      <c r="FZK18" s="10">
        <v>-1.01</v>
      </c>
      <c r="FZL18" s="2" t="s">
        <v>65</v>
      </c>
      <c r="FZM18" t="s">
        <v>14</v>
      </c>
      <c r="FZN18" s="5">
        <v>43521</v>
      </c>
      <c r="FZO18" s="2" t="s">
        <v>68</v>
      </c>
      <c r="FZP18" s="7"/>
      <c r="FZQ18"/>
      <c r="FZR18"/>
      <c r="FZS18" s="10">
        <v>-1.01</v>
      </c>
      <c r="FZT18" s="2" t="s">
        <v>65</v>
      </c>
      <c r="FZU18" t="s">
        <v>14</v>
      </c>
      <c r="FZV18" s="5">
        <v>43521</v>
      </c>
      <c r="FZW18" s="2" t="s">
        <v>68</v>
      </c>
      <c r="FZX18" s="7"/>
      <c r="FZY18"/>
      <c r="FZZ18"/>
      <c r="GAA18" s="10">
        <v>-1.01</v>
      </c>
      <c r="GAB18" s="2" t="s">
        <v>65</v>
      </c>
      <c r="GAC18" t="s">
        <v>14</v>
      </c>
      <c r="GAD18" s="5">
        <v>43521</v>
      </c>
      <c r="GAE18" s="2" t="s">
        <v>68</v>
      </c>
      <c r="GAF18" s="7"/>
      <c r="GAG18"/>
      <c r="GAH18"/>
      <c r="GAI18" s="10">
        <v>-1.01</v>
      </c>
      <c r="GAJ18" s="2" t="s">
        <v>65</v>
      </c>
      <c r="GAK18" t="s">
        <v>14</v>
      </c>
      <c r="GAL18" s="5">
        <v>43521</v>
      </c>
      <c r="GAM18" s="2" t="s">
        <v>68</v>
      </c>
      <c r="GAN18" s="7"/>
      <c r="GAO18"/>
      <c r="GAP18"/>
      <c r="GAQ18" s="10">
        <v>-1.01</v>
      </c>
      <c r="GAR18" s="2" t="s">
        <v>65</v>
      </c>
      <c r="GAS18" t="s">
        <v>14</v>
      </c>
      <c r="GAT18" s="5">
        <v>43521</v>
      </c>
      <c r="GAU18" s="2" t="s">
        <v>68</v>
      </c>
      <c r="GAV18" s="7"/>
      <c r="GAW18"/>
      <c r="GAX18"/>
      <c r="GAY18" s="10">
        <v>-1.01</v>
      </c>
      <c r="GAZ18" s="2" t="s">
        <v>65</v>
      </c>
      <c r="GBA18" t="s">
        <v>14</v>
      </c>
      <c r="GBB18" s="5">
        <v>43521</v>
      </c>
      <c r="GBC18" s="2" t="s">
        <v>68</v>
      </c>
      <c r="GBD18" s="7"/>
      <c r="GBE18"/>
      <c r="GBF18"/>
      <c r="GBG18" s="10">
        <v>-1.01</v>
      </c>
      <c r="GBH18" s="2" t="s">
        <v>65</v>
      </c>
      <c r="GBI18" t="s">
        <v>14</v>
      </c>
      <c r="GBJ18" s="5">
        <v>43521</v>
      </c>
      <c r="GBK18" s="2" t="s">
        <v>68</v>
      </c>
      <c r="GBL18" s="7"/>
      <c r="GBM18"/>
      <c r="GBN18"/>
      <c r="GBO18" s="10">
        <v>-1.01</v>
      </c>
      <c r="GBP18" s="2" t="s">
        <v>65</v>
      </c>
      <c r="GBQ18" t="s">
        <v>14</v>
      </c>
      <c r="GBR18" s="5">
        <v>43521</v>
      </c>
      <c r="GBS18" s="2" t="s">
        <v>68</v>
      </c>
      <c r="GBT18" s="7"/>
      <c r="GBU18"/>
      <c r="GBV18"/>
      <c r="GBW18" s="10">
        <v>-1.01</v>
      </c>
      <c r="GBX18" s="2" t="s">
        <v>65</v>
      </c>
      <c r="GBY18" t="s">
        <v>14</v>
      </c>
      <c r="GBZ18" s="5">
        <v>43521</v>
      </c>
      <c r="GCA18" s="2" t="s">
        <v>68</v>
      </c>
      <c r="GCB18" s="7"/>
      <c r="GCC18"/>
      <c r="GCD18"/>
      <c r="GCE18" s="10">
        <v>-1.01</v>
      </c>
      <c r="GCF18" s="2" t="s">
        <v>65</v>
      </c>
      <c r="GCG18" t="s">
        <v>14</v>
      </c>
      <c r="GCH18" s="5">
        <v>43521</v>
      </c>
      <c r="GCI18" s="2" t="s">
        <v>68</v>
      </c>
      <c r="GCJ18" s="7"/>
      <c r="GCK18"/>
      <c r="GCL18"/>
      <c r="GCM18" s="10">
        <v>-1.01</v>
      </c>
      <c r="GCN18" s="2" t="s">
        <v>65</v>
      </c>
      <c r="GCO18" t="s">
        <v>14</v>
      </c>
      <c r="GCP18" s="5">
        <v>43521</v>
      </c>
      <c r="GCQ18" s="2" t="s">
        <v>68</v>
      </c>
      <c r="GCR18" s="7"/>
      <c r="GCS18"/>
      <c r="GCT18"/>
      <c r="GCU18" s="10">
        <v>-1.01</v>
      </c>
      <c r="GCV18" s="2" t="s">
        <v>65</v>
      </c>
      <c r="GCW18" t="s">
        <v>14</v>
      </c>
      <c r="GCX18" s="5">
        <v>43521</v>
      </c>
      <c r="GCY18" s="2" t="s">
        <v>68</v>
      </c>
      <c r="GCZ18" s="7"/>
      <c r="GDA18"/>
      <c r="GDB18"/>
      <c r="GDC18" s="10">
        <v>-1.01</v>
      </c>
      <c r="GDD18" s="2" t="s">
        <v>65</v>
      </c>
      <c r="GDE18" t="s">
        <v>14</v>
      </c>
      <c r="GDF18" s="5">
        <v>43521</v>
      </c>
      <c r="GDG18" s="2" t="s">
        <v>68</v>
      </c>
      <c r="GDH18" s="7"/>
      <c r="GDI18"/>
      <c r="GDJ18"/>
      <c r="GDK18" s="10">
        <v>-1.01</v>
      </c>
      <c r="GDL18" s="2" t="s">
        <v>65</v>
      </c>
      <c r="GDM18" t="s">
        <v>14</v>
      </c>
      <c r="GDN18" s="5">
        <v>43521</v>
      </c>
      <c r="GDO18" s="2" t="s">
        <v>68</v>
      </c>
      <c r="GDP18" s="7"/>
      <c r="GDQ18"/>
      <c r="GDR18"/>
      <c r="GDS18" s="10">
        <v>-1.01</v>
      </c>
      <c r="GDT18" s="2" t="s">
        <v>65</v>
      </c>
      <c r="GDU18" t="s">
        <v>14</v>
      </c>
      <c r="GDV18" s="5">
        <v>43521</v>
      </c>
      <c r="GDW18" s="2" t="s">
        <v>68</v>
      </c>
      <c r="GDX18" s="7"/>
      <c r="GDY18"/>
      <c r="GDZ18"/>
      <c r="GEA18" s="10">
        <v>-1.01</v>
      </c>
      <c r="GEB18" s="2" t="s">
        <v>65</v>
      </c>
      <c r="GEC18" t="s">
        <v>14</v>
      </c>
      <c r="GED18" s="5">
        <v>43521</v>
      </c>
      <c r="GEE18" s="2" t="s">
        <v>68</v>
      </c>
      <c r="GEF18" s="7"/>
      <c r="GEG18"/>
      <c r="GEH18"/>
      <c r="GEI18" s="10">
        <v>-1.01</v>
      </c>
      <c r="GEJ18" s="2" t="s">
        <v>65</v>
      </c>
      <c r="GEK18" t="s">
        <v>14</v>
      </c>
      <c r="GEL18" s="5">
        <v>43521</v>
      </c>
      <c r="GEM18" s="2" t="s">
        <v>68</v>
      </c>
      <c r="GEN18" s="7"/>
      <c r="GEO18"/>
      <c r="GEP18"/>
      <c r="GEQ18" s="10">
        <v>-1.01</v>
      </c>
      <c r="GER18" s="2" t="s">
        <v>65</v>
      </c>
      <c r="GES18" t="s">
        <v>14</v>
      </c>
      <c r="GET18" s="5">
        <v>43521</v>
      </c>
      <c r="GEU18" s="2" t="s">
        <v>68</v>
      </c>
      <c r="GEV18" s="7"/>
      <c r="GEW18"/>
      <c r="GEX18"/>
      <c r="GEY18" s="10">
        <v>-1.01</v>
      </c>
      <c r="GEZ18" s="2" t="s">
        <v>65</v>
      </c>
      <c r="GFA18" t="s">
        <v>14</v>
      </c>
      <c r="GFB18" s="5">
        <v>43521</v>
      </c>
      <c r="GFC18" s="2" t="s">
        <v>68</v>
      </c>
      <c r="GFD18" s="7"/>
      <c r="GFE18"/>
      <c r="GFF18"/>
      <c r="GFG18" s="10">
        <v>-1.01</v>
      </c>
      <c r="GFH18" s="2" t="s">
        <v>65</v>
      </c>
      <c r="GFI18" t="s">
        <v>14</v>
      </c>
      <c r="GFJ18" s="5">
        <v>43521</v>
      </c>
      <c r="GFK18" s="2" t="s">
        <v>68</v>
      </c>
      <c r="GFL18" s="7"/>
      <c r="GFM18"/>
      <c r="GFN18"/>
      <c r="GFO18" s="10">
        <v>-1.01</v>
      </c>
      <c r="GFP18" s="2" t="s">
        <v>65</v>
      </c>
      <c r="GFQ18" t="s">
        <v>14</v>
      </c>
      <c r="GFR18" s="5">
        <v>43521</v>
      </c>
      <c r="GFS18" s="2" t="s">
        <v>68</v>
      </c>
      <c r="GFT18" s="7"/>
      <c r="GFU18"/>
      <c r="GFV18"/>
      <c r="GFW18" s="10">
        <v>-1.01</v>
      </c>
      <c r="GFX18" s="2" t="s">
        <v>65</v>
      </c>
      <c r="GFY18" t="s">
        <v>14</v>
      </c>
      <c r="GFZ18" s="5">
        <v>43521</v>
      </c>
      <c r="GGA18" s="2" t="s">
        <v>68</v>
      </c>
      <c r="GGB18" s="7"/>
      <c r="GGC18"/>
      <c r="GGD18"/>
      <c r="GGE18" s="10">
        <v>-1.01</v>
      </c>
      <c r="GGF18" s="2" t="s">
        <v>65</v>
      </c>
      <c r="GGG18" t="s">
        <v>14</v>
      </c>
      <c r="GGH18" s="5">
        <v>43521</v>
      </c>
      <c r="GGI18" s="2" t="s">
        <v>68</v>
      </c>
      <c r="GGJ18" s="7"/>
      <c r="GGK18"/>
      <c r="GGL18"/>
      <c r="GGM18" s="10">
        <v>-1.01</v>
      </c>
      <c r="GGN18" s="2" t="s">
        <v>65</v>
      </c>
      <c r="GGO18" t="s">
        <v>14</v>
      </c>
      <c r="GGP18" s="5">
        <v>43521</v>
      </c>
      <c r="GGQ18" s="2" t="s">
        <v>68</v>
      </c>
      <c r="GGR18" s="7"/>
      <c r="GGS18"/>
      <c r="GGT18"/>
      <c r="GGU18" s="10">
        <v>-1.01</v>
      </c>
      <c r="GGV18" s="2" t="s">
        <v>65</v>
      </c>
      <c r="GGW18" t="s">
        <v>14</v>
      </c>
      <c r="GGX18" s="5">
        <v>43521</v>
      </c>
      <c r="GGY18" s="2" t="s">
        <v>68</v>
      </c>
      <c r="GGZ18" s="7"/>
      <c r="GHA18"/>
      <c r="GHB18"/>
      <c r="GHC18" s="10">
        <v>-1.01</v>
      </c>
      <c r="GHD18" s="2" t="s">
        <v>65</v>
      </c>
      <c r="GHE18" t="s">
        <v>14</v>
      </c>
      <c r="GHF18" s="5">
        <v>43521</v>
      </c>
      <c r="GHG18" s="2" t="s">
        <v>68</v>
      </c>
      <c r="GHH18" s="7"/>
      <c r="GHI18"/>
      <c r="GHJ18"/>
      <c r="GHK18" s="10">
        <v>-1.01</v>
      </c>
      <c r="GHL18" s="2" t="s">
        <v>65</v>
      </c>
      <c r="GHM18" t="s">
        <v>14</v>
      </c>
      <c r="GHN18" s="5">
        <v>43521</v>
      </c>
      <c r="GHO18" s="2" t="s">
        <v>68</v>
      </c>
      <c r="GHP18" s="7"/>
      <c r="GHQ18"/>
      <c r="GHR18"/>
      <c r="GHS18" s="10">
        <v>-1.01</v>
      </c>
      <c r="GHT18" s="2" t="s">
        <v>65</v>
      </c>
      <c r="GHU18" t="s">
        <v>14</v>
      </c>
      <c r="GHV18" s="5">
        <v>43521</v>
      </c>
      <c r="GHW18" s="2" t="s">
        <v>68</v>
      </c>
      <c r="GHX18" s="7"/>
      <c r="GHY18"/>
      <c r="GHZ18"/>
      <c r="GIA18" s="10">
        <v>-1.01</v>
      </c>
      <c r="GIB18" s="2" t="s">
        <v>65</v>
      </c>
      <c r="GIC18" t="s">
        <v>14</v>
      </c>
      <c r="GID18" s="5">
        <v>43521</v>
      </c>
      <c r="GIE18" s="2" t="s">
        <v>68</v>
      </c>
      <c r="GIF18" s="7"/>
      <c r="GIG18"/>
      <c r="GIH18"/>
      <c r="GII18" s="10">
        <v>-1.01</v>
      </c>
      <c r="GIJ18" s="2" t="s">
        <v>65</v>
      </c>
      <c r="GIK18" t="s">
        <v>14</v>
      </c>
      <c r="GIL18" s="5">
        <v>43521</v>
      </c>
      <c r="GIM18" s="2" t="s">
        <v>68</v>
      </c>
      <c r="GIN18" s="7"/>
      <c r="GIO18"/>
      <c r="GIP18"/>
      <c r="GIQ18" s="10">
        <v>-1.01</v>
      </c>
      <c r="GIR18" s="2" t="s">
        <v>65</v>
      </c>
      <c r="GIS18" t="s">
        <v>14</v>
      </c>
      <c r="GIT18" s="5">
        <v>43521</v>
      </c>
      <c r="GIU18" s="2" t="s">
        <v>68</v>
      </c>
      <c r="GIV18" s="7"/>
      <c r="GIW18"/>
      <c r="GIX18"/>
      <c r="GIY18" s="10">
        <v>-1.01</v>
      </c>
      <c r="GIZ18" s="2" t="s">
        <v>65</v>
      </c>
      <c r="GJA18" t="s">
        <v>14</v>
      </c>
      <c r="GJB18" s="5">
        <v>43521</v>
      </c>
      <c r="GJC18" s="2" t="s">
        <v>68</v>
      </c>
      <c r="GJD18" s="7"/>
      <c r="GJE18"/>
      <c r="GJF18"/>
      <c r="GJG18" s="10">
        <v>-1.01</v>
      </c>
      <c r="GJH18" s="2" t="s">
        <v>65</v>
      </c>
      <c r="GJI18" t="s">
        <v>14</v>
      </c>
      <c r="GJJ18" s="5">
        <v>43521</v>
      </c>
      <c r="GJK18" s="2" t="s">
        <v>68</v>
      </c>
      <c r="GJL18" s="7"/>
      <c r="GJM18"/>
      <c r="GJN18"/>
      <c r="GJO18" s="10">
        <v>-1.01</v>
      </c>
      <c r="GJP18" s="2" t="s">
        <v>65</v>
      </c>
      <c r="GJQ18" t="s">
        <v>14</v>
      </c>
      <c r="GJR18" s="5">
        <v>43521</v>
      </c>
      <c r="GJS18" s="2" t="s">
        <v>68</v>
      </c>
      <c r="GJT18" s="7"/>
      <c r="GJU18"/>
      <c r="GJV18"/>
      <c r="GJW18" s="10">
        <v>-1.01</v>
      </c>
      <c r="GJX18" s="2" t="s">
        <v>65</v>
      </c>
      <c r="GJY18" t="s">
        <v>14</v>
      </c>
      <c r="GJZ18" s="5">
        <v>43521</v>
      </c>
      <c r="GKA18" s="2" t="s">
        <v>68</v>
      </c>
      <c r="GKB18" s="7"/>
      <c r="GKC18"/>
      <c r="GKD18"/>
      <c r="GKE18" s="10">
        <v>-1.01</v>
      </c>
      <c r="GKF18" s="2" t="s">
        <v>65</v>
      </c>
      <c r="GKG18" t="s">
        <v>14</v>
      </c>
      <c r="GKH18" s="5">
        <v>43521</v>
      </c>
      <c r="GKI18" s="2" t="s">
        <v>68</v>
      </c>
      <c r="GKJ18" s="7"/>
      <c r="GKK18"/>
      <c r="GKL18"/>
      <c r="GKM18" s="10">
        <v>-1.01</v>
      </c>
      <c r="GKN18" s="2" t="s">
        <v>65</v>
      </c>
      <c r="GKO18" t="s">
        <v>14</v>
      </c>
      <c r="GKP18" s="5">
        <v>43521</v>
      </c>
      <c r="GKQ18" s="2" t="s">
        <v>68</v>
      </c>
      <c r="GKR18" s="7"/>
      <c r="GKS18"/>
      <c r="GKT18"/>
      <c r="GKU18" s="10">
        <v>-1.01</v>
      </c>
      <c r="GKV18" s="2" t="s">
        <v>65</v>
      </c>
      <c r="GKW18" t="s">
        <v>14</v>
      </c>
      <c r="GKX18" s="5">
        <v>43521</v>
      </c>
      <c r="GKY18" s="2" t="s">
        <v>68</v>
      </c>
      <c r="GKZ18" s="7"/>
      <c r="GLA18"/>
      <c r="GLB18"/>
      <c r="GLC18" s="10">
        <v>-1.01</v>
      </c>
      <c r="GLD18" s="2" t="s">
        <v>65</v>
      </c>
      <c r="GLE18" t="s">
        <v>14</v>
      </c>
      <c r="GLF18" s="5">
        <v>43521</v>
      </c>
      <c r="GLG18" s="2" t="s">
        <v>68</v>
      </c>
      <c r="GLH18" s="7"/>
      <c r="GLI18"/>
      <c r="GLJ18"/>
      <c r="GLK18" s="10">
        <v>-1.01</v>
      </c>
      <c r="GLL18" s="2" t="s">
        <v>65</v>
      </c>
      <c r="GLM18" t="s">
        <v>14</v>
      </c>
      <c r="GLN18" s="5">
        <v>43521</v>
      </c>
      <c r="GLO18" s="2" t="s">
        <v>68</v>
      </c>
      <c r="GLP18" s="7"/>
      <c r="GLQ18"/>
      <c r="GLR18"/>
      <c r="GLS18" s="10">
        <v>-1.01</v>
      </c>
      <c r="GLT18" s="2" t="s">
        <v>65</v>
      </c>
      <c r="GLU18" t="s">
        <v>14</v>
      </c>
      <c r="GLV18" s="5">
        <v>43521</v>
      </c>
      <c r="GLW18" s="2" t="s">
        <v>68</v>
      </c>
      <c r="GLX18" s="7"/>
      <c r="GLY18"/>
      <c r="GLZ18"/>
      <c r="GMA18" s="10">
        <v>-1.01</v>
      </c>
      <c r="GMB18" s="2" t="s">
        <v>65</v>
      </c>
      <c r="GMC18" t="s">
        <v>14</v>
      </c>
      <c r="GMD18" s="5">
        <v>43521</v>
      </c>
      <c r="GME18" s="2" t="s">
        <v>68</v>
      </c>
      <c r="GMF18" s="7"/>
      <c r="GMG18"/>
      <c r="GMH18"/>
      <c r="GMI18" s="10">
        <v>-1.01</v>
      </c>
      <c r="GMJ18" s="2" t="s">
        <v>65</v>
      </c>
      <c r="GMK18" t="s">
        <v>14</v>
      </c>
      <c r="GML18" s="5">
        <v>43521</v>
      </c>
      <c r="GMM18" s="2" t="s">
        <v>68</v>
      </c>
      <c r="GMN18" s="7"/>
      <c r="GMO18"/>
      <c r="GMP18"/>
      <c r="GMQ18" s="10">
        <v>-1.01</v>
      </c>
      <c r="GMR18" s="2" t="s">
        <v>65</v>
      </c>
      <c r="GMS18" t="s">
        <v>14</v>
      </c>
      <c r="GMT18" s="5">
        <v>43521</v>
      </c>
      <c r="GMU18" s="2" t="s">
        <v>68</v>
      </c>
      <c r="GMV18" s="7"/>
      <c r="GMW18"/>
      <c r="GMX18"/>
      <c r="GMY18" s="10">
        <v>-1.01</v>
      </c>
      <c r="GMZ18" s="2" t="s">
        <v>65</v>
      </c>
      <c r="GNA18" t="s">
        <v>14</v>
      </c>
      <c r="GNB18" s="5">
        <v>43521</v>
      </c>
      <c r="GNC18" s="2" t="s">
        <v>68</v>
      </c>
      <c r="GND18" s="7"/>
      <c r="GNE18"/>
      <c r="GNF18"/>
      <c r="GNG18" s="10">
        <v>-1.01</v>
      </c>
      <c r="GNH18" s="2" t="s">
        <v>65</v>
      </c>
      <c r="GNI18" t="s">
        <v>14</v>
      </c>
      <c r="GNJ18" s="5">
        <v>43521</v>
      </c>
      <c r="GNK18" s="2" t="s">
        <v>68</v>
      </c>
      <c r="GNL18" s="7"/>
      <c r="GNM18"/>
      <c r="GNN18"/>
      <c r="GNO18" s="10">
        <v>-1.01</v>
      </c>
      <c r="GNP18" s="2" t="s">
        <v>65</v>
      </c>
      <c r="GNQ18" t="s">
        <v>14</v>
      </c>
      <c r="GNR18" s="5">
        <v>43521</v>
      </c>
      <c r="GNS18" s="2" t="s">
        <v>68</v>
      </c>
      <c r="GNT18" s="7"/>
      <c r="GNU18"/>
      <c r="GNV18"/>
      <c r="GNW18" s="10">
        <v>-1.01</v>
      </c>
      <c r="GNX18" s="2" t="s">
        <v>65</v>
      </c>
      <c r="GNY18" t="s">
        <v>14</v>
      </c>
      <c r="GNZ18" s="5">
        <v>43521</v>
      </c>
      <c r="GOA18" s="2" t="s">
        <v>68</v>
      </c>
      <c r="GOB18" s="7"/>
      <c r="GOC18"/>
      <c r="GOD18"/>
      <c r="GOE18" s="10">
        <v>-1.01</v>
      </c>
      <c r="GOF18" s="2" t="s">
        <v>65</v>
      </c>
      <c r="GOG18" t="s">
        <v>14</v>
      </c>
      <c r="GOH18" s="5">
        <v>43521</v>
      </c>
      <c r="GOI18" s="2" t="s">
        <v>68</v>
      </c>
      <c r="GOJ18" s="7"/>
      <c r="GOK18"/>
      <c r="GOL18"/>
      <c r="GOM18" s="10">
        <v>-1.01</v>
      </c>
      <c r="GON18" s="2" t="s">
        <v>65</v>
      </c>
      <c r="GOO18" t="s">
        <v>14</v>
      </c>
      <c r="GOP18" s="5">
        <v>43521</v>
      </c>
      <c r="GOQ18" s="2" t="s">
        <v>68</v>
      </c>
      <c r="GOR18" s="7"/>
      <c r="GOS18"/>
      <c r="GOT18"/>
      <c r="GOU18" s="10">
        <v>-1.01</v>
      </c>
      <c r="GOV18" s="2" t="s">
        <v>65</v>
      </c>
      <c r="GOW18" t="s">
        <v>14</v>
      </c>
      <c r="GOX18" s="5">
        <v>43521</v>
      </c>
      <c r="GOY18" s="2" t="s">
        <v>68</v>
      </c>
      <c r="GOZ18" s="7"/>
      <c r="GPA18"/>
      <c r="GPB18"/>
      <c r="GPC18" s="10">
        <v>-1.01</v>
      </c>
      <c r="GPD18" s="2" t="s">
        <v>65</v>
      </c>
      <c r="GPE18" t="s">
        <v>14</v>
      </c>
      <c r="GPF18" s="5">
        <v>43521</v>
      </c>
      <c r="GPG18" s="2" t="s">
        <v>68</v>
      </c>
      <c r="GPH18" s="7"/>
      <c r="GPI18"/>
      <c r="GPJ18"/>
      <c r="GPK18" s="10">
        <v>-1.01</v>
      </c>
      <c r="GPL18" s="2" t="s">
        <v>65</v>
      </c>
      <c r="GPM18" t="s">
        <v>14</v>
      </c>
      <c r="GPN18" s="5">
        <v>43521</v>
      </c>
      <c r="GPO18" s="2" t="s">
        <v>68</v>
      </c>
      <c r="GPP18" s="7"/>
      <c r="GPQ18"/>
      <c r="GPR18"/>
      <c r="GPS18" s="10">
        <v>-1.01</v>
      </c>
      <c r="GPT18" s="2" t="s">
        <v>65</v>
      </c>
      <c r="GPU18" t="s">
        <v>14</v>
      </c>
      <c r="GPV18" s="5">
        <v>43521</v>
      </c>
      <c r="GPW18" s="2" t="s">
        <v>68</v>
      </c>
      <c r="GPX18" s="7"/>
      <c r="GPY18"/>
      <c r="GPZ18"/>
      <c r="GQA18" s="10">
        <v>-1.01</v>
      </c>
      <c r="GQB18" s="2" t="s">
        <v>65</v>
      </c>
      <c r="GQC18" t="s">
        <v>14</v>
      </c>
      <c r="GQD18" s="5">
        <v>43521</v>
      </c>
      <c r="GQE18" s="2" t="s">
        <v>68</v>
      </c>
      <c r="GQF18" s="7"/>
      <c r="GQG18"/>
      <c r="GQH18"/>
      <c r="GQI18" s="10">
        <v>-1.01</v>
      </c>
      <c r="GQJ18" s="2" t="s">
        <v>65</v>
      </c>
      <c r="GQK18" t="s">
        <v>14</v>
      </c>
      <c r="GQL18" s="5">
        <v>43521</v>
      </c>
      <c r="GQM18" s="2" t="s">
        <v>68</v>
      </c>
      <c r="GQN18" s="7"/>
      <c r="GQO18"/>
      <c r="GQP18"/>
      <c r="GQQ18" s="10">
        <v>-1.01</v>
      </c>
      <c r="GQR18" s="2" t="s">
        <v>65</v>
      </c>
      <c r="GQS18" t="s">
        <v>14</v>
      </c>
      <c r="GQT18" s="5">
        <v>43521</v>
      </c>
      <c r="GQU18" s="2" t="s">
        <v>68</v>
      </c>
      <c r="GQV18" s="7"/>
      <c r="GQW18"/>
      <c r="GQX18"/>
      <c r="GQY18" s="10">
        <v>-1.01</v>
      </c>
      <c r="GQZ18" s="2" t="s">
        <v>65</v>
      </c>
      <c r="GRA18" t="s">
        <v>14</v>
      </c>
      <c r="GRB18" s="5">
        <v>43521</v>
      </c>
      <c r="GRC18" s="2" t="s">
        <v>68</v>
      </c>
      <c r="GRD18" s="7"/>
      <c r="GRE18"/>
      <c r="GRF18"/>
      <c r="GRG18" s="10">
        <v>-1.01</v>
      </c>
      <c r="GRH18" s="2" t="s">
        <v>65</v>
      </c>
      <c r="GRI18" t="s">
        <v>14</v>
      </c>
      <c r="GRJ18" s="5">
        <v>43521</v>
      </c>
      <c r="GRK18" s="2" t="s">
        <v>68</v>
      </c>
      <c r="GRL18" s="7"/>
      <c r="GRM18"/>
      <c r="GRN18"/>
      <c r="GRO18" s="10">
        <v>-1.01</v>
      </c>
      <c r="GRP18" s="2" t="s">
        <v>65</v>
      </c>
      <c r="GRQ18" t="s">
        <v>14</v>
      </c>
      <c r="GRR18" s="5">
        <v>43521</v>
      </c>
      <c r="GRS18" s="2" t="s">
        <v>68</v>
      </c>
      <c r="GRT18" s="7"/>
      <c r="GRU18"/>
      <c r="GRV18"/>
      <c r="GRW18" s="10">
        <v>-1.01</v>
      </c>
      <c r="GRX18" s="2" t="s">
        <v>65</v>
      </c>
      <c r="GRY18" t="s">
        <v>14</v>
      </c>
      <c r="GRZ18" s="5">
        <v>43521</v>
      </c>
      <c r="GSA18" s="2" t="s">
        <v>68</v>
      </c>
      <c r="GSB18" s="7"/>
      <c r="GSC18"/>
      <c r="GSD18"/>
      <c r="GSE18" s="10">
        <v>-1.01</v>
      </c>
      <c r="GSF18" s="2" t="s">
        <v>65</v>
      </c>
      <c r="GSG18" t="s">
        <v>14</v>
      </c>
      <c r="GSH18" s="5">
        <v>43521</v>
      </c>
      <c r="GSI18" s="2" t="s">
        <v>68</v>
      </c>
      <c r="GSJ18" s="7"/>
      <c r="GSK18"/>
      <c r="GSL18"/>
      <c r="GSM18" s="10">
        <v>-1.01</v>
      </c>
      <c r="GSN18" s="2" t="s">
        <v>65</v>
      </c>
      <c r="GSO18" t="s">
        <v>14</v>
      </c>
      <c r="GSP18" s="5">
        <v>43521</v>
      </c>
      <c r="GSQ18" s="2" t="s">
        <v>68</v>
      </c>
      <c r="GSR18" s="7"/>
      <c r="GSS18"/>
      <c r="GST18"/>
      <c r="GSU18" s="10">
        <v>-1.01</v>
      </c>
      <c r="GSV18" s="2" t="s">
        <v>65</v>
      </c>
      <c r="GSW18" t="s">
        <v>14</v>
      </c>
      <c r="GSX18" s="5">
        <v>43521</v>
      </c>
      <c r="GSY18" s="2" t="s">
        <v>68</v>
      </c>
      <c r="GSZ18" s="7"/>
      <c r="GTA18"/>
      <c r="GTB18"/>
      <c r="GTC18" s="10">
        <v>-1.01</v>
      </c>
      <c r="GTD18" s="2" t="s">
        <v>65</v>
      </c>
      <c r="GTE18" t="s">
        <v>14</v>
      </c>
      <c r="GTF18" s="5">
        <v>43521</v>
      </c>
      <c r="GTG18" s="2" t="s">
        <v>68</v>
      </c>
      <c r="GTH18" s="7"/>
      <c r="GTI18"/>
      <c r="GTJ18"/>
      <c r="GTK18" s="10">
        <v>-1.01</v>
      </c>
      <c r="GTL18" s="2" t="s">
        <v>65</v>
      </c>
      <c r="GTM18" t="s">
        <v>14</v>
      </c>
      <c r="GTN18" s="5">
        <v>43521</v>
      </c>
      <c r="GTO18" s="2" t="s">
        <v>68</v>
      </c>
      <c r="GTP18" s="7"/>
      <c r="GTQ18"/>
      <c r="GTR18"/>
      <c r="GTS18" s="10">
        <v>-1.01</v>
      </c>
      <c r="GTT18" s="2" t="s">
        <v>65</v>
      </c>
      <c r="GTU18" t="s">
        <v>14</v>
      </c>
      <c r="GTV18" s="5">
        <v>43521</v>
      </c>
      <c r="GTW18" s="2" t="s">
        <v>68</v>
      </c>
      <c r="GTX18" s="7"/>
      <c r="GTY18"/>
      <c r="GTZ18"/>
      <c r="GUA18" s="10">
        <v>-1.01</v>
      </c>
      <c r="GUB18" s="2" t="s">
        <v>65</v>
      </c>
      <c r="GUC18" t="s">
        <v>14</v>
      </c>
      <c r="GUD18" s="5">
        <v>43521</v>
      </c>
      <c r="GUE18" s="2" t="s">
        <v>68</v>
      </c>
      <c r="GUF18" s="7"/>
      <c r="GUG18"/>
      <c r="GUH18"/>
      <c r="GUI18" s="10">
        <v>-1.01</v>
      </c>
      <c r="GUJ18" s="2" t="s">
        <v>65</v>
      </c>
      <c r="GUK18" t="s">
        <v>14</v>
      </c>
      <c r="GUL18" s="5">
        <v>43521</v>
      </c>
      <c r="GUM18" s="2" t="s">
        <v>68</v>
      </c>
      <c r="GUN18" s="7"/>
      <c r="GUO18"/>
      <c r="GUP18"/>
      <c r="GUQ18" s="10">
        <v>-1.01</v>
      </c>
      <c r="GUR18" s="2" t="s">
        <v>65</v>
      </c>
      <c r="GUS18" t="s">
        <v>14</v>
      </c>
      <c r="GUT18" s="5">
        <v>43521</v>
      </c>
      <c r="GUU18" s="2" t="s">
        <v>68</v>
      </c>
      <c r="GUV18" s="7"/>
      <c r="GUW18"/>
      <c r="GUX18"/>
      <c r="GUY18" s="10">
        <v>-1.01</v>
      </c>
      <c r="GUZ18" s="2" t="s">
        <v>65</v>
      </c>
      <c r="GVA18" t="s">
        <v>14</v>
      </c>
      <c r="GVB18" s="5">
        <v>43521</v>
      </c>
      <c r="GVC18" s="2" t="s">
        <v>68</v>
      </c>
      <c r="GVD18" s="7"/>
      <c r="GVE18"/>
      <c r="GVF18"/>
      <c r="GVG18" s="10">
        <v>-1.01</v>
      </c>
      <c r="GVH18" s="2" t="s">
        <v>65</v>
      </c>
      <c r="GVI18" t="s">
        <v>14</v>
      </c>
      <c r="GVJ18" s="5">
        <v>43521</v>
      </c>
      <c r="GVK18" s="2" t="s">
        <v>68</v>
      </c>
      <c r="GVL18" s="7"/>
      <c r="GVM18"/>
      <c r="GVN18"/>
      <c r="GVO18" s="10">
        <v>-1.01</v>
      </c>
      <c r="GVP18" s="2" t="s">
        <v>65</v>
      </c>
      <c r="GVQ18" t="s">
        <v>14</v>
      </c>
      <c r="GVR18" s="5">
        <v>43521</v>
      </c>
      <c r="GVS18" s="2" t="s">
        <v>68</v>
      </c>
      <c r="GVT18" s="7"/>
      <c r="GVU18"/>
      <c r="GVV18"/>
      <c r="GVW18" s="10">
        <v>-1.01</v>
      </c>
      <c r="GVX18" s="2" t="s">
        <v>65</v>
      </c>
      <c r="GVY18" t="s">
        <v>14</v>
      </c>
      <c r="GVZ18" s="5">
        <v>43521</v>
      </c>
      <c r="GWA18" s="2" t="s">
        <v>68</v>
      </c>
      <c r="GWB18" s="7"/>
      <c r="GWC18"/>
      <c r="GWD18"/>
      <c r="GWE18" s="10">
        <v>-1.01</v>
      </c>
      <c r="GWF18" s="2" t="s">
        <v>65</v>
      </c>
      <c r="GWG18" t="s">
        <v>14</v>
      </c>
      <c r="GWH18" s="5">
        <v>43521</v>
      </c>
      <c r="GWI18" s="2" t="s">
        <v>68</v>
      </c>
      <c r="GWJ18" s="7"/>
      <c r="GWK18"/>
      <c r="GWL18"/>
      <c r="GWM18" s="10">
        <v>-1.01</v>
      </c>
      <c r="GWN18" s="2" t="s">
        <v>65</v>
      </c>
      <c r="GWO18" t="s">
        <v>14</v>
      </c>
      <c r="GWP18" s="5">
        <v>43521</v>
      </c>
      <c r="GWQ18" s="2" t="s">
        <v>68</v>
      </c>
      <c r="GWR18" s="7"/>
      <c r="GWS18"/>
      <c r="GWT18"/>
      <c r="GWU18" s="10">
        <v>-1.01</v>
      </c>
      <c r="GWV18" s="2" t="s">
        <v>65</v>
      </c>
      <c r="GWW18" t="s">
        <v>14</v>
      </c>
      <c r="GWX18" s="5">
        <v>43521</v>
      </c>
      <c r="GWY18" s="2" t="s">
        <v>68</v>
      </c>
      <c r="GWZ18" s="7"/>
      <c r="GXA18"/>
      <c r="GXB18"/>
      <c r="GXC18" s="10">
        <v>-1.01</v>
      </c>
      <c r="GXD18" s="2" t="s">
        <v>65</v>
      </c>
      <c r="GXE18" t="s">
        <v>14</v>
      </c>
      <c r="GXF18" s="5">
        <v>43521</v>
      </c>
      <c r="GXG18" s="2" t="s">
        <v>68</v>
      </c>
      <c r="GXH18" s="7"/>
      <c r="GXI18"/>
      <c r="GXJ18"/>
      <c r="GXK18" s="10">
        <v>-1.01</v>
      </c>
      <c r="GXL18" s="2" t="s">
        <v>65</v>
      </c>
      <c r="GXM18" t="s">
        <v>14</v>
      </c>
      <c r="GXN18" s="5">
        <v>43521</v>
      </c>
      <c r="GXO18" s="2" t="s">
        <v>68</v>
      </c>
      <c r="GXP18" s="7"/>
      <c r="GXQ18"/>
      <c r="GXR18"/>
      <c r="GXS18" s="10">
        <v>-1.01</v>
      </c>
      <c r="GXT18" s="2" t="s">
        <v>65</v>
      </c>
      <c r="GXU18" t="s">
        <v>14</v>
      </c>
      <c r="GXV18" s="5">
        <v>43521</v>
      </c>
      <c r="GXW18" s="2" t="s">
        <v>68</v>
      </c>
      <c r="GXX18" s="7"/>
      <c r="GXY18"/>
      <c r="GXZ18"/>
      <c r="GYA18" s="10">
        <v>-1.01</v>
      </c>
      <c r="GYB18" s="2" t="s">
        <v>65</v>
      </c>
      <c r="GYC18" t="s">
        <v>14</v>
      </c>
      <c r="GYD18" s="5">
        <v>43521</v>
      </c>
      <c r="GYE18" s="2" t="s">
        <v>68</v>
      </c>
      <c r="GYF18" s="7"/>
      <c r="GYG18"/>
      <c r="GYH18"/>
      <c r="GYI18" s="10">
        <v>-1.01</v>
      </c>
      <c r="GYJ18" s="2" t="s">
        <v>65</v>
      </c>
      <c r="GYK18" t="s">
        <v>14</v>
      </c>
      <c r="GYL18" s="5">
        <v>43521</v>
      </c>
      <c r="GYM18" s="2" t="s">
        <v>68</v>
      </c>
      <c r="GYN18" s="7"/>
      <c r="GYO18"/>
      <c r="GYP18"/>
      <c r="GYQ18" s="10">
        <v>-1.01</v>
      </c>
      <c r="GYR18" s="2" t="s">
        <v>65</v>
      </c>
      <c r="GYS18" t="s">
        <v>14</v>
      </c>
      <c r="GYT18" s="5">
        <v>43521</v>
      </c>
      <c r="GYU18" s="2" t="s">
        <v>68</v>
      </c>
      <c r="GYV18" s="7"/>
      <c r="GYW18"/>
      <c r="GYX18"/>
      <c r="GYY18" s="10">
        <v>-1.01</v>
      </c>
      <c r="GYZ18" s="2" t="s">
        <v>65</v>
      </c>
      <c r="GZA18" t="s">
        <v>14</v>
      </c>
      <c r="GZB18" s="5">
        <v>43521</v>
      </c>
      <c r="GZC18" s="2" t="s">
        <v>68</v>
      </c>
      <c r="GZD18" s="7"/>
      <c r="GZE18"/>
      <c r="GZF18"/>
      <c r="GZG18" s="10">
        <v>-1.01</v>
      </c>
      <c r="GZH18" s="2" t="s">
        <v>65</v>
      </c>
      <c r="GZI18" t="s">
        <v>14</v>
      </c>
      <c r="GZJ18" s="5">
        <v>43521</v>
      </c>
      <c r="GZK18" s="2" t="s">
        <v>68</v>
      </c>
      <c r="GZL18" s="7"/>
      <c r="GZM18"/>
      <c r="GZN18"/>
      <c r="GZO18" s="10">
        <v>-1.01</v>
      </c>
      <c r="GZP18" s="2" t="s">
        <v>65</v>
      </c>
      <c r="GZQ18" t="s">
        <v>14</v>
      </c>
      <c r="GZR18" s="5">
        <v>43521</v>
      </c>
      <c r="GZS18" s="2" t="s">
        <v>68</v>
      </c>
      <c r="GZT18" s="7"/>
      <c r="GZU18"/>
      <c r="GZV18"/>
      <c r="GZW18" s="10">
        <v>-1.01</v>
      </c>
      <c r="GZX18" s="2" t="s">
        <v>65</v>
      </c>
      <c r="GZY18" t="s">
        <v>14</v>
      </c>
      <c r="GZZ18" s="5">
        <v>43521</v>
      </c>
      <c r="HAA18" s="2" t="s">
        <v>68</v>
      </c>
      <c r="HAB18" s="7"/>
      <c r="HAC18"/>
      <c r="HAD18"/>
      <c r="HAE18" s="10">
        <v>-1.01</v>
      </c>
      <c r="HAF18" s="2" t="s">
        <v>65</v>
      </c>
      <c r="HAG18" t="s">
        <v>14</v>
      </c>
      <c r="HAH18" s="5">
        <v>43521</v>
      </c>
      <c r="HAI18" s="2" t="s">
        <v>68</v>
      </c>
      <c r="HAJ18" s="7"/>
      <c r="HAK18"/>
      <c r="HAL18"/>
      <c r="HAM18" s="10">
        <v>-1.01</v>
      </c>
      <c r="HAN18" s="2" t="s">
        <v>65</v>
      </c>
      <c r="HAO18" t="s">
        <v>14</v>
      </c>
      <c r="HAP18" s="5">
        <v>43521</v>
      </c>
      <c r="HAQ18" s="2" t="s">
        <v>68</v>
      </c>
      <c r="HAR18" s="7"/>
      <c r="HAS18"/>
      <c r="HAT18"/>
      <c r="HAU18" s="10">
        <v>-1.01</v>
      </c>
      <c r="HAV18" s="2" t="s">
        <v>65</v>
      </c>
      <c r="HAW18" t="s">
        <v>14</v>
      </c>
      <c r="HAX18" s="5">
        <v>43521</v>
      </c>
      <c r="HAY18" s="2" t="s">
        <v>68</v>
      </c>
      <c r="HAZ18" s="7"/>
      <c r="HBA18"/>
      <c r="HBB18"/>
      <c r="HBC18" s="10">
        <v>-1.01</v>
      </c>
      <c r="HBD18" s="2" t="s">
        <v>65</v>
      </c>
      <c r="HBE18" t="s">
        <v>14</v>
      </c>
      <c r="HBF18" s="5">
        <v>43521</v>
      </c>
      <c r="HBG18" s="2" t="s">
        <v>68</v>
      </c>
      <c r="HBH18" s="7"/>
      <c r="HBI18"/>
      <c r="HBJ18"/>
      <c r="HBK18" s="10">
        <v>-1.01</v>
      </c>
      <c r="HBL18" s="2" t="s">
        <v>65</v>
      </c>
      <c r="HBM18" t="s">
        <v>14</v>
      </c>
      <c r="HBN18" s="5">
        <v>43521</v>
      </c>
      <c r="HBO18" s="2" t="s">
        <v>68</v>
      </c>
      <c r="HBP18" s="7"/>
      <c r="HBQ18"/>
      <c r="HBR18"/>
      <c r="HBS18" s="10">
        <v>-1.01</v>
      </c>
      <c r="HBT18" s="2" t="s">
        <v>65</v>
      </c>
      <c r="HBU18" t="s">
        <v>14</v>
      </c>
      <c r="HBV18" s="5">
        <v>43521</v>
      </c>
      <c r="HBW18" s="2" t="s">
        <v>68</v>
      </c>
      <c r="HBX18" s="7"/>
      <c r="HBY18"/>
      <c r="HBZ18"/>
      <c r="HCA18" s="10">
        <v>-1.01</v>
      </c>
      <c r="HCB18" s="2" t="s">
        <v>65</v>
      </c>
      <c r="HCC18" t="s">
        <v>14</v>
      </c>
      <c r="HCD18" s="5">
        <v>43521</v>
      </c>
      <c r="HCE18" s="2" t="s">
        <v>68</v>
      </c>
      <c r="HCF18" s="7"/>
      <c r="HCG18"/>
      <c r="HCH18"/>
      <c r="HCI18" s="10">
        <v>-1.01</v>
      </c>
      <c r="HCJ18" s="2" t="s">
        <v>65</v>
      </c>
      <c r="HCK18" t="s">
        <v>14</v>
      </c>
      <c r="HCL18" s="5">
        <v>43521</v>
      </c>
      <c r="HCM18" s="2" t="s">
        <v>68</v>
      </c>
      <c r="HCN18" s="7"/>
      <c r="HCO18"/>
      <c r="HCP18"/>
      <c r="HCQ18" s="10">
        <v>-1.01</v>
      </c>
      <c r="HCR18" s="2" t="s">
        <v>65</v>
      </c>
      <c r="HCS18" t="s">
        <v>14</v>
      </c>
      <c r="HCT18" s="5">
        <v>43521</v>
      </c>
      <c r="HCU18" s="2" t="s">
        <v>68</v>
      </c>
      <c r="HCV18" s="7"/>
      <c r="HCW18"/>
      <c r="HCX18"/>
      <c r="HCY18" s="10">
        <v>-1.01</v>
      </c>
      <c r="HCZ18" s="2" t="s">
        <v>65</v>
      </c>
      <c r="HDA18" t="s">
        <v>14</v>
      </c>
      <c r="HDB18" s="5">
        <v>43521</v>
      </c>
      <c r="HDC18" s="2" t="s">
        <v>68</v>
      </c>
      <c r="HDD18" s="7"/>
      <c r="HDE18"/>
      <c r="HDF18"/>
      <c r="HDG18" s="10">
        <v>-1.01</v>
      </c>
      <c r="HDH18" s="2" t="s">
        <v>65</v>
      </c>
      <c r="HDI18" t="s">
        <v>14</v>
      </c>
      <c r="HDJ18" s="5">
        <v>43521</v>
      </c>
      <c r="HDK18" s="2" t="s">
        <v>68</v>
      </c>
      <c r="HDL18" s="7"/>
      <c r="HDM18"/>
      <c r="HDN18"/>
      <c r="HDO18" s="10">
        <v>-1.01</v>
      </c>
      <c r="HDP18" s="2" t="s">
        <v>65</v>
      </c>
      <c r="HDQ18" t="s">
        <v>14</v>
      </c>
      <c r="HDR18" s="5">
        <v>43521</v>
      </c>
      <c r="HDS18" s="2" t="s">
        <v>68</v>
      </c>
      <c r="HDT18" s="7"/>
      <c r="HDU18"/>
      <c r="HDV18"/>
      <c r="HDW18" s="10">
        <v>-1.01</v>
      </c>
      <c r="HDX18" s="2" t="s">
        <v>65</v>
      </c>
      <c r="HDY18" t="s">
        <v>14</v>
      </c>
      <c r="HDZ18" s="5">
        <v>43521</v>
      </c>
      <c r="HEA18" s="2" t="s">
        <v>68</v>
      </c>
      <c r="HEB18" s="7"/>
      <c r="HEC18"/>
      <c r="HED18"/>
      <c r="HEE18" s="10">
        <v>-1.01</v>
      </c>
      <c r="HEF18" s="2" t="s">
        <v>65</v>
      </c>
      <c r="HEG18" t="s">
        <v>14</v>
      </c>
      <c r="HEH18" s="5">
        <v>43521</v>
      </c>
      <c r="HEI18" s="2" t="s">
        <v>68</v>
      </c>
      <c r="HEJ18" s="7"/>
      <c r="HEK18"/>
      <c r="HEL18"/>
      <c r="HEM18" s="10">
        <v>-1.01</v>
      </c>
      <c r="HEN18" s="2" t="s">
        <v>65</v>
      </c>
      <c r="HEO18" t="s">
        <v>14</v>
      </c>
      <c r="HEP18" s="5">
        <v>43521</v>
      </c>
      <c r="HEQ18" s="2" t="s">
        <v>68</v>
      </c>
      <c r="HER18" s="7"/>
      <c r="HES18"/>
      <c r="HET18"/>
      <c r="HEU18" s="10">
        <v>-1.01</v>
      </c>
      <c r="HEV18" s="2" t="s">
        <v>65</v>
      </c>
      <c r="HEW18" t="s">
        <v>14</v>
      </c>
      <c r="HEX18" s="5">
        <v>43521</v>
      </c>
      <c r="HEY18" s="2" t="s">
        <v>68</v>
      </c>
      <c r="HEZ18" s="7"/>
      <c r="HFA18"/>
      <c r="HFB18"/>
      <c r="HFC18" s="10">
        <v>-1.01</v>
      </c>
      <c r="HFD18" s="2" t="s">
        <v>65</v>
      </c>
      <c r="HFE18" t="s">
        <v>14</v>
      </c>
      <c r="HFF18" s="5">
        <v>43521</v>
      </c>
      <c r="HFG18" s="2" t="s">
        <v>68</v>
      </c>
      <c r="HFH18" s="7"/>
      <c r="HFI18"/>
      <c r="HFJ18"/>
      <c r="HFK18" s="10">
        <v>-1.01</v>
      </c>
      <c r="HFL18" s="2" t="s">
        <v>65</v>
      </c>
      <c r="HFM18" t="s">
        <v>14</v>
      </c>
      <c r="HFN18" s="5">
        <v>43521</v>
      </c>
      <c r="HFO18" s="2" t="s">
        <v>68</v>
      </c>
      <c r="HFP18" s="7"/>
      <c r="HFQ18"/>
      <c r="HFR18"/>
      <c r="HFS18" s="10">
        <v>-1.01</v>
      </c>
      <c r="HFT18" s="2" t="s">
        <v>65</v>
      </c>
      <c r="HFU18" t="s">
        <v>14</v>
      </c>
      <c r="HFV18" s="5">
        <v>43521</v>
      </c>
      <c r="HFW18" s="2" t="s">
        <v>68</v>
      </c>
      <c r="HFX18" s="7"/>
      <c r="HFY18"/>
      <c r="HFZ18"/>
      <c r="HGA18" s="10">
        <v>-1.01</v>
      </c>
      <c r="HGB18" s="2" t="s">
        <v>65</v>
      </c>
      <c r="HGC18" t="s">
        <v>14</v>
      </c>
      <c r="HGD18" s="5">
        <v>43521</v>
      </c>
      <c r="HGE18" s="2" t="s">
        <v>68</v>
      </c>
      <c r="HGF18" s="7"/>
      <c r="HGG18"/>
      <c r="HGH18"/>
      <c r="HGI18" s="10">
        <v>-1.01</v>
      </c>
      <c r="HGJ18" s="2" t="s">
        <v>65</v>
      </c>
      <c r="HGK18" t="s">
        <v>14</v>
      </c>
      <c r="HGL18" s="5">
        <v>43521</v>
      </c>
      <c r="HGM18" s="2" t="s">
        <v>68</v>
      </c>
      <c r="HGN18" s="7"/>
      <c r="HGO18"/>
      <c r="HGP18"/>
      <c r="HGQ18" s="10">
        <v>-1.01</v>
      </c>
      <c r="HGR18" s="2" t="s">
        <v>65</v>
      </c>
      <c r="HGS18" t="s">
        <v>14</v>
      </c>
      <c r="HGT18" s="5">
        <v>43521</v>
      </c>
      <c r="HGU18" s="2" t="s">
        <v>68</v>
      </c>
      <c r="HGV18" s="7"/>
      <c r="HGW18"/>
      <c r="HGX18"/>
      <c r="HGY18" s="10">
        <v>-1.01</v>
      </c>
      <c r="HGZ18" s="2" t="s">
        <v>65</v>
      </c>
      <c r="HHA18" t="s">
        <v>14</v>
      </c>
      <c r="HHB18" s="5">
        <v>43521</v>
      </c>
      <c r="HHC18" s="2" t="s">
        <v>68</v>
      </c>
      <c r="HHD18" s="7"/>
      <c r="HHE18"/>
      <c r="HHF18"/>
      <c r="HHG18" s="10">
        <v>-1.01</v>
      </c>
      <c r="HHH18" s="2" t="s">
        <v>65</v>
      </c>
      <c r="HHI18" t="s">
        <v>14</v>
      </c>
      <c r="HHJ18" s="5">
        <v>43521</v>
      </c>
      <c r="HHK18" s="2" t="s">
        <v>68</v>
      </c>
      <c r="HHL18" s="7"/>
      <c r="HHM18"/>
      <c r="HHN18"/>
      <c r="HHO18" s="10">
        <v>-1.01</v>
      </c>
      <c r="HHP18" s="2" t="s">
        <v>65</v>
      </c>
      <c r="HHQ18" t="s">
        <v>14</v>
      </c>
      <c r="HHR18" s="5">
        <v>43521</v>
      </c>
      <c r="HHS18" s="2" t="s">
        <v>68</v>
      </c>
      <c r="HHT18" s="7"/>
      <c r="HHU18"/>
      <c r="HHV18"/>
      <c r="HHW18" s="10">
        <v>-1.01</v>
      </c>
      <c r="HHX18" s="2" t="s">
        <v>65</v>
      </c>
      <c r="HHY18" t="s">
        <v>14</v>
      </c>
      <c r="HHZ18" s="5">
        <v>43521</v>
      </c>
      <c r="HIA18" s="2" t="s">
        <v>68</v>
      </c>
      <c r="HIB18" s="7"/>
      <c r="HIC18"/>
      <c r="HID18"/>
      <c r="HIE18" s="10">
        <v>-1.01</v>
      </c>
      <c r="HIF18" s="2" t="s">
        <v>65</v>
      </c>
      <c r="HIG18" t="s">
        <v>14</v>
      </c>
      <c r="HIH18" s="5">
        <v>43521</v>
      </c>
      <c r="HII18" s="2" t="s">
        <v>68</v>
      </c>
      <c r="HIJ18" s="7"/>
      <c r="HIK18"/>
      <c r="HIL18"/>
      <c r="HIM18" s="10">
        <v>-1.01</v>
      </c>
      <c r="HIN18" s="2" t="s">
        <v>65</v>
      </c>
      <c r="HIO18" t="s">
        <v>14</v>
      </c>
      <c r="HIP18" s="5">
        <v>43521</v>
      </c>
      <c r="HIQ18" s="2" t="s">
        <v>68</v>
      </c>
      <c r="HIR18" s="7"/>
      <c r="HIS18"/>
      <c r="HIT18"/>
      <c r="HIU18" s="10">
        <v>-1.01</v>
      </c>
      <c r="HIV18" s="2" t="s">
        <v>65</v>
      </c>
      <c r="HIW18" t="s">
        <v>14</v>
      </c>
      <c r="HIX18" s="5">
        <v>43521</v>
      </c>
      <c r="HIY18" s="2" t="s">
        <v>68</v>
      </c>
      <c r="HIZ18" s="7"/>
      <c r="HJA18"/>
      <c r="HJB18"/>
      <c r="HJC18" s="10">
        <v>-1.01</v>
      </c>
      <c r="HJD18" s="2" t="s">
        <v>65</v>
      </c>
      <c r="HJE18" t="s">
        <v>14</v>
      </c>
      <c r="HJF18" s="5">
        <v>43521</v>
      </c>
      <c r="HJG18" s="2" t="s">
        <v>68</v>
      </c>
      <c r="HJH18" s="7"/>
      <c r="HJI18"/>
      <c r="HJJ18"/>
      <c r="HJK18" s="10">
        <v>-1.01</v>
      </c>
      <c r="HJL18" s="2" t="s">
        <v>65</v>
      </c>
      <c r="HJM18" t="s">
        <v>14</v>
      </c>
      <c r="HJN18" s="5">
        <v>43521</v>
      </c>
      <c r="HJO18" s="2" t="s">
        <v>68</v>
      </c>
      <c r="HJP18" s="7"/>
      <c r="HJQ18"/>
      <c r="HJR18"/>
      <c r="HJS18" s="10">
        <v>-1.01</v>
      </c>
      <c r="HJT18" s="2" t="s">
        <v>65</v>
      </c>
      <c r="HJU18" t="s">
        <v>14</v>
      </c>
      <c r="HJV18" s="5">
        <v>43521</v>
      </c>
      <c r="HJW18" s="2" t="s">
        <v>68</v>
      </c>
      <c r="HJX18" s="7"/>
      <c r="HJY18"/>
      <c r="HJZ18"/>
      <c r="HKA18" s="10">
        <v>-1.01</v>
      </c>
      <c r="HKB18" s="2" t="s">
        <v>65</v>
      </c>
      <c r="HKC18" t="s">
        <v>14</v>
      </c>
      <c r="HKD18" s="5">
        <v>43521</v>
      </c>
      <c r="HKE18" s="2" t="s">
        <v>68</v>
      </c>
      <c r="HKF18" s="7"/>
      <c r="HKG18"/>
      <c r="HKH18"/>
      <c r="HKI18" s="10">
        <v>-1.01</v>
      </c>
      <c r="HKJ18" s="2" t="s">
        <v>65</v>
      </c>
      <c r="HKK18" t="s">
        <v>14</v>
      </c>
      <c r="HKL18" s="5">
        <v>43521</v>
      </c>
      <c r="HKM18" s="2" t="s">
        <v>68</v>
      </c>
      <c r="HKN18" s="7"/>
      <c r="HKO18"/>
      <c r="HKP18"/>
      <c r="HKQ18" s="10">
        <v>-1.01</v>
      </c>
      <c r="HKR18" s="2" t="s">
        <v>65</v>
      </c>
      <c r="HKS18" t="s">
        <v>14</v>
      </c>
      <c r="HKT18" s="5">
        <v>43521</v>
      </c>
      <c r="HKU18" s="2" t="s">
        <v>68</v>
      </c>
      <c r="HKV18" s="7"/>
      <c r="HKW18"/>
      <c r="HKX18"/>
      <c r="HKY18" s="10">
        <v>-1.01</v>
      </c>
      <c r="HKZ18" s="2" t="s">
        <v>65</v>
      </c>
      <c r="HLA18" t="s">
        <v>14</v>
      </c>
      <c r="HLB18" s="5">
        <v>43521</v>
      </c>
      <c r="HLC18" s="2" t="s">
        <v>68</v>
      </c>
      <c r="HLD18" s="7"/>
      <c r="HLE18"/>
      <c r="HLF18"/>
      <c r="HLG18" s="10">
        <v>-1.01</v>
      </c>
      <c r="HLH18" s="2" t="s">
        <v>65</v>
      </c>
      <c r="HLI18" t="s">
        <v>14</v>
      </c>
      <c r="HLJ18" s="5">
        <v>43521</v>
      </c>
      <c r="HLK18" s="2" t="s">
        <v>68</v>
      </c>
      <c r="HLL18" s="7"/>
      <c r="HLM18"/>
      <c r="HLN18"/>
      <c r="HLO18" s="10">
        <v>-1.01</v>
      </c>
      <c r="HLP18" s="2" t="s">
        <v>65</v>
      </c>
      <c r="HLQ18" t="s">
        <v>14</v>
      </c>
      <c r="HLR18" s="5">
        <v>43521</v>
      </c>
      <c r="HLS18" s="2" t="s">
        <v>68</v>
      </c>
      <c r="HLT18" s="7"/>
      <c r="HLU18"/>
      <c r="HLV18"/>
      <c r="HLW18" s="10">
        <v>-1.01</v>
      </c>
      <c r="HLX18" s="2" t="s">
        <v>65</v>
      </c>
      <c r="HLY18" t="s">
        <v>14</v>
      </c>
      <c r="HLZ18" s="5">
        <v>43521</v>
      </c>
      <c r="HMA18" s="2" t="s">
        <v>68</v>
      </c>
      <c r="HMB18" s="7"/>
      <c r="HMC18"/>
      <c r="HMD18"/>
      <c r="HME18" s="10">
        <v>-1.01</v>
      </c>
      <c r="HMF18" s="2" t="s">
        <v>65</v>
      </c>
      <c r="HMG18" t="s">
        <v>14</v>
      </c>
      <c r="HMH18" s="5">
        <v>43521</v>
      </c>
      <c r="HMI18" s="2" t="s">
        <v>68</v>
      </c>
      <c r="HMJ18" s="7"/>
      <c r="HMK18"/>
      <c r="HML18"/>
      <c r="HMM18" s="10">
        <v>-1.01</v>
      </c>
      <c r="HMN18" s="2" t="s">
        <v>65</v>
      </c>
      <c r="HMO18" t="s">
        <v>14</v>
      </c>
      <c r="HMP18" s="5">
        <v>43521</v>
      </c>
      <c r="HMQ18" s="2" t="s">
        <v>68</v>
      </c>
      <c r="HMR18" s="7"/>
      <c r="HMS18"/>
      <c r="HMT18"/>
      <c r="HMU18" s="10">
        <v>-1.01</v>
      </c>
      <c r="HMV18" s="2" t="s">
        <v>65</v>
      </c>
      <c r="HMW18" t="s">
        <v>14</v>
      </c>
      <c r="HMX18" s="5">
        <v>43521</v>
      </c>
      <c r="HMY18" s="2" t="s">
        <v>68</v>
      </c>
      <c r="HMZ18" s="7"/>
      <c r="HNA18"/>
      <c r="HNB18"/>
      <c r="HNC18" s="10">
        <v>-1.01</v>
      </c>
      <c r="HND18" s="2" t="s">
        <v>65</v>
      </c>
      <c r="HNE18" t="s">
        <v>14</v>
      </c>
      <c r="HNF18" s="5">
        <v>43521</v>
      </c>
      <c r="HNG18" s="2" t="s">
        <v>68</v>
      </c>
      <c r="HNH18" s="7"/>
      <c r="HNI18"/>
      <c r="HNJ18"/>
      <c r="HNK18" s="10">
        <v>-1.01</v>
      </c>
      <c r="HNL18" s="2" t="s">
        <v>65</v>
      </c>
      <c r="HNM18" t="s">
        <v>14</v>
      </c>
      <c r="HNN18" s="5">
        <v>43521</v>
      </c>
      <c r="HNO18" s="2" t="s">
        <v>68</v>
      </c>
      <c r="HNP18" s="7"/>
      <c r="HNQ18"/>
      <c r="HNR18"/>
      <c r="HNS18" s="10">
        <v>-1.01</v>
      </c>
      <c r="HNT18" s="2" t="s">
        <v>65</v>
      </c>
      <c r="HNU18" t="s">
        <v>14</v>
      </c>
      <c r="HNV18" s="5">
        <v>43521</v>
      </c>
      <c r="HNW18" s="2" t="s">
        <v>68</v>
      </c>
      <c r="HNX18" s="7"/>
      <c r="HNY18"/>
      <c r="HNZ18"/>
      <c r="HOA18" s="10">
        <v>-1.01</v>
      </c>
      <c r="HOB18" s="2" t="s">
        <v>65</v>
      </c>
      <c r="HOC18" t="s">
        <v>14</v>
      </c>
      <c r="HOD18" s="5">
        <v>43521</v>
      </c>
      <c r="HOE18" s="2" t="s">
        <v>68</v>
      </c>
      <c r="HOF18" s="7"/>
      <c r="HOG18"/>
      <c r="HOH18"/>
      <c r="HOI18" s="10">
        <v>-1.01</v>
      </c>
      <c r="HOJ18" s="2" t="s">
        <v>65</v>
      </c>
      <c r="HOK18" t="s">
        <v>14</v>
      </c>
      <c r="HOL18" s="5">
        <v>43521</v>
      </c>
      <c r="HOM18" s="2" t="s">
        <v>68</v>
      </c>
      <c r="HON18" s="7"/>
      <c r="HOO18"/>
      <c r="HOP18"/>
      <c r="HOQ18" s="10">
        <v>-1.01</v>
      </c>
      <c r="HOR18" s="2" t="s">
        <v>65</v>
      </c>
      <c r="HOS18" t="s">
        <v>14</v>
      </c>
      <c r="HOT18" s="5">
        <v>43521</v>
      </c>
      <c r="HOU18" s="2" t="s">
        <v>68</v>
      </c>
      <c r="HOV18" s="7"/>
      <c r="HOW18"/>
      <c r="HOX18"/>
      <c r="HOY18" s="10">
        <v>-1.01</v>
      </c>
      <c r="HOZ18" s="2" t="s">
        <v>65</v>
      </c>
      <c r="HPA18" t="s">
        <v>14</v>
      </c>
      <c r="HPB18" s="5">
        <v>43521</v>
      </c>
      <c r="HPC18" s="2" t="s">
        <v>68</v>
      </c>
      <c r="HPD18" s="7"/>
      <c r="HPE18"/>
      <c r="HPF18"/>
      <c r="HPG18" s="10">
        <v>-1.01</v>
      </c>
      <c r="HPH18" s="2" t="s">
        <v>65</v>
      </c>
      <c r="HPI18" t="s">
        <v>14</v>
      </c>
      <c r="HPJ18" s="5">
        <v>43521</v>
      </c>
      <c r="HPK18" s="2" t="s">
        <v>68</v>
      </c>
      <c r="HPL18" s="7"/>
      <c r="HPM18"/>
      <c r="HPN18"/>
      <c r="HPO18" s="10">
        <v>-1.01</v>
      </c>
      <c r="HPP18" s="2" t="s">
        <v>65</v>
      </c>
      <c r="HPQ18" t="s">
        <v>14</v>
      </c>
      <c r="HPR18" s="5">
        <v>43521</v>
      </c>
      <c r="HPS18" s="2" t="s">
        <v>68</v>
      </c>
      <c r="HPT18" s="7"/>
      <c r="HPU18"/>
      <c r="HPV18"/>
      <c r="HPW18" s="10">
        <v>-1.01</v>
      </c>
      <c r="HPX18" s="2" t="s">
        <v>65</v>
      </c>
      <c r="HPY18" t="s">
        <v>14</v>
      </c>
      <c r="HPZ18" s="5">
        <v>43521</v>
      </c>
      <c r="HQA18" s="2" t="s">
        <v>68</v>
      </c>
      <c r="HQB18" s="7"/>
      <c r="HQC18"/>
      <c r="HQD18"/>
      <c r="HQE18" s="10">
        <v>-1.01</v>
      </c>
      <c r="HQF18" s="2" t="s">
        <v>65</v>
      </c>
      <c r="HQG18" t="s">
        <v>14</v>
      </c>
      <c r="HQH18" s="5">
        <v>43521</v>
      </c>
      <c r="HQI18" s="2" t="s">
        <v>68</v>
      </c>
      <c r="HQJ18" s="7"/>
      <c r="HQK18"/>
      <c r="HQL18"/>
      <c r="HQM18" s="10">
        <v>-1.01</v>
      </c>
      <c r="HQN18" s="2" t="s">
        <v>65</v>
      </c>
      <c r="HQO18" t="s">
        <v>14</v>
      </c>
      <c r="HQP18" s="5">
        <v>43521</v>
      </c>
      <c r="HQQ18" s="2" t="s">
        <v>68</v>
      </c>
      <c r="HQR18" s="7"/>
      <c r="HQS18"/>
      <c r="HQT18"/>
      <c r="HQU18" s="10">
        <v>-1.01</v>
      </c>
      <c r="HQV18" s="2" t="s">
        <v>65</v>
      </c>
      <c r="HQW18" t="s">
        <v>14</v>
      </c>
      <c r="HQX18" s="5">
        <v>43521</v>
      </c>
      <c r="HQY18" s="2" t="s">
        <v>68</v>
      </c>
      <c r="HQZ18" s="7"/>
      <c r="HRA18"/>
      <c r="HRB18"/>
      <c r="HRC18" s="10">
        <v>-1.01</v>
      </c>
      <c r="HRD18" s="2" t="s">
        <v>65</v>
      </c>
      <c r="HRE18" t="s">
        <v>14</v>
      </c>
      <c r="HRF18" s="5">
        <v>43521</v>
      </c>
      <c r="HRG18" s="2" t="s">
        <v>68</v>
      </c>
      <c r="HRH18" s="7"/>
      <c r="HRI18"/>
      <c r="HRJ18"/>
      <c r="HRK18" s="10">
        <v>-1.01</v>
      </c>
      <c r="HRL18" s="2" t="s">
        <v>65</v>
      </c>
      <c r="HRM18" t="s">
        <v>14</v>
      </c>
      <c r="HRN18" s="5">
        <v>43521</v>
      </c>
      <c r="HRO18" s="2" t="s">
        <v>68</v>
      </c>
      <c r="HRP18" s="7"/>
      <c r="HRQ18"/>
      <c r="HRR18"/>
      <c r="HRS18" s="10">
        <v>-1.01</v>
      </c>
      <c r="HRT18" s="2" t="s">
        <v>65</v>
      </c>
      <c r="HRU18" t="s">
        <v>14</v>
      </c>
      <c r="HRV18" s="5">
        <v>43521</v>
      </c>
      <c r="HRW18" s="2" t="s">
        <v>68</v>
      </c>
      <c r="HRX18" s="7"/>
      <c r="HRY18"/>
      <c r="HRZ18"/>
      <c r="HSA18" s="10">
        <v>-1.01</v>
      </c>
      <c r="HSB18" s="2" t="s">
        <v>65</v>
      </c>
      <c r="HSC18" t="s">
        <v>14</v>
      </c>
      <c r="HSD18" s="5">
        <v>43521</v>
      </c>
      <c r="HSE18" s="2" t="s">
        <v>68</v>
      </c>
      <c r="HSF18" s="7"/>
      <c r="HSG18"/>
      <c r="HSH18"/>
      <c r="HSI18" s="10">
        <v>-1.01</v>
      </c>
      <c r="HSJ18" s="2" t="s">
        <v>65</v>
      </c>
      <c r="HSK18" t="s">
        <v>14</v>
      </c>
      <c r="HSL18" s="5">
        <v>43521</v>
      </c>
      <c r="HSM18" s="2" t="s">
        <v>68</v>
      </c>
      <c r="HSN18" s="7"/>
      <c r="HSO18"/>
      <c r="HSP18"/>
      <c r="HSQ18" s="10">
        <v>-1.01</v>
      </c>
      <c r="HSR18" s="2" t="s">
        <v>65</v>
      </c>
      <c r="HSS18" t="s">
        <v>14</v>
      </c>
      <c r="HST18" s="5">
        <v>43521</v>
      </c>
      <c r="HSU18" s="2" t="s">
        <v>68</v>
      </c>
      <c r="HSV18" s="7"/>
      <c r="HSW18"/>
      <c r="HSX18"/>
      <c r="HSY18" s="10">
        <v>-1.01</v>
      </c>
      <c r="HSZ18" s="2" t="s">
        <v>65</v>
      </c>
      <c r="HTA18" t="s">
        <v>14</v>
      </c>
      <c r="HTB18" s="5">
        <v>43521</v>
      </c>
      <c r="HTC18" s="2" t="s">
        <v>68</v>
      </c>
      <c r="HTD18" s="7"/>
      <c r="HTE18"/>
      <c r="HTF18"/>
      <c r="HTG18" s="10">
        <v>-1.01</v>
      </c>
      <c r="HTH18" s="2" t="s">
        <v>65</v>
      </c>
      <c r="HTI18" t="s">
        <v>14</v>
      </c>
      <c r="HTJ18" s="5">
        <v>43521</v>
      </c>
      <c r="HTK18" s="2" t="s">
        <v>68</v>
      </c>
      <c r="HTL18" s="7"/>
      <c r="HTM18"/>
      <c r="HTN18"/>
      <c r="HTO18" s="10">
        <v>-1.01</v>
      </c>
      <c r="HTP18" s="2" t="s">
        <v>65</v>
      </c>
      <c r="HTQ18" t="s">
        <v>14</v>
      </c>
      <c r="HTR18" s="5">
        <v>43521</v>
      </c>
      <c r="HTS18" s="2" t="s">
        <v>68</v>
      </c>
      <c r="HTT18" s="7"/>
      <c r="HTU18"/>
      <c r="HTV18"/>
      <c r="HTW18" s="10">
        <v>-1.01</v>
      </c>
      <c r="HTX18" s="2" t="s">
        <v>65</v>
      </c>
      <c r="HTY18" t="s">
        <v>14</v>
      </c>
      <c r="HTZ18" s="5">
        <v>43521</v>
      </c>
      <c r="HUA18" s="2" t="s">
        <v>68</v>
      </c>
      <c r="HUB18" s="7"/>
      <c r="HUC18"/>
      <c r="HUD18"/>
      <c r="HUE18" s="10">
        <v>-1.01</v>
      </c>
      <c r="HUF18" s="2" t="s">
        <v>65</v>
      </c>
      <c r="HUG18" t="s">
        <v>14</v>
      </c>
      <c r="HUH18" s="5">
        <v>43521</v>
      </c>
      <c r="HUI18" s="2" t="s">
        <v>68</v>
      </c>
      <c r="HUJ18" s="7"/>
      <c r="HUK18"/>
      <c r="HUL18"/>
      <c r="HUM18" s="10">
        <v>-1.01</v>
      </c>
      <c r="HUN18" s="2" t="s">
        <v>65</v>
      </c>
      <c r="HUO18" t="s">
        <v>14</v>
      </c>
      <c r="HUP18" s="5">
        <v>43521</v>
      </c>
      <c r="HUQ18" s="2" t="s">
        <v>68</v>
      </c>
      <c r="HUR18" s="7"/>
      <c r="HUS18"/>
      <c r="HUT18"/>
      <c r="HUU18" s="10">
        <v>-1.01</v>
      </c>
      <c r="HUV18" s="2" t="s">
        <v>65</v>
      </c>
      <c r="HUW18" t="s">
        <v>14</v>
      </c>
      <c r="HUX18" s="5">
        <v>43521</v>
      </c>
      <c r="HUY18" s="2" t="s">
        <v>68</v>
      </c>
      <c r="HUZ18" s="7"/>
      <c r="HVA18"/>
      <c r="HVB18"/>
      <c r="HVC18" s="10">
        <v>-1.01</v>
      </c>
      <c r="HVD18" s="2" t="s">
        <v>65</v>
      </c>
      <c r="HVE18" t="s">
        <v>14</v>
      </c>
      <c r="HVF18" s="5">
        <v>43521</v>
      </c>
      <c r="HVG18" s="2" t="s">
        <v>68</v>
      </c>
      <c r="HVH18" s="7"/>
      <c r="HVI18"/>
      <c r="HVJ18"/>
      <c r="HVK18" s="10">
        <v>-1.01</v>
      </c>
      <c r="HVL18" s="2" t="s">
        <v>65</v>
      </c>
      <c r="HVM18" t="s">
        <v>14</v>
      </c>
      <c r="HVN18" s="5">
        <v>43521</v>
      </c>
      <c r="HVO18" s="2" t="s">
        <v>68</v>
      </c>
      <c r="HVP18" s="7"/>
      <c r="HVQ18"/>
      <c r="HVR18"/>
      <c r="HVS18" s="10">
        <v>-1.01</v>
      </c>
      <c r="HVT18" s="2" t="s">
        <v>65</v>
      </c>
      <c r="HVU18" t="s">
        <v>14</v>
      </c>
      <c r="HVV18" s="5">
        <v>43521</v>
      </c>
      <c r="HVW18" s="2" t="s">
        <v>68</v>
      </c>
      <c r="HVX18" s="7"/>
      <c r="HVY18"/>
      <c r="HVZ18"/>
      <c r="HWA18" s="10">
        <v>-1.01</v>
      </c>
      <c r="HWB18" s="2" t="s">
        <v>65</v>
      </c>
      <c r="HWC18" t="s">
        <v>14</v>
      </c>
      <c r="HWD18" s="5">
        <v>43521</v>
      </c>
      <c r="HWE18" s="2" t="s">
        <v>68</v>
      </c>
      <c r="HWF18" s="7"/>
      <c r="HWG18"/>
      <c r="HWH18"/>
      <c r="HWI18" s="10">
        <v>-1.01</v>
      </c>
      <c r="HWJ18" s="2" t="s">
        <v>65</v>
      </c>
      <c r="HWK18" t="s">
        <v>14</v>
      </c>
      <c r="HWL18" s="5">
        <v>43521</v>
      </c>
      <c r="HWM18" s="2" t="s">
        <v>68</v>
      </c>
      <c r="HWN18" s="7"/>
      <c r="HWO18"/>
      <c r="HWP18"/>
      <c r="HWQ18" s="10">
        <v>-1.01</v>
      </c>
      <c r="HWR18" s="2" t="s">
        <v>65</v>
      </c>
      <c r="HWS18" t="s">
        <v>14</v>
      </c>
      <c r="HWT18" s="5">
        <v>43521</v>
      </c>
      <c r="HWU18" s="2" t="s">
        <v>68</v>
      </c>
      <c r="HWV18" s="7"/>
      <c r="HWW18"/>
      <c r="HWX18"/>
      <c r="HWY18" s="10">
        <v>-1.01</v>
      </c>
      <c r="HWZ18" s="2" t="s">
        <v>65</v>
      </c>
      <c r="HXA18" t="s">
        <v>14</v>
      </c>
      <c r="HXB18" s="5">
        <v>43521</v>
      </c>
      <c r="HXC18" s="2" t="s">
        <v>68</v>
      </c>
      <c r="HXD18" s="7"/>
      <c r="HXE18"/>
      <c r="HXF18"/>
      <c r="HXG18" s="10">
        <v>-1.01</v>
      </c>
      <c r="HXH18" s="2" t="s">
        <v>65</v>
      </c>
      <c r="HXI18" t="s">
        <v>14</v>
      </c>
      <c r="HXJ18" s="5">
        <v>43521</v>
      </c>
      <c r="HXK18" s="2" t="s">
        <v>68</v>
      </c>
      <c r="HXL18" s="7"/>
      <c r="HXM18"/>
      <c r="HXN18"/>
      <c r="HXO18" s="10">
        <v>-1.01</v>
      </c>
      <c r="HXP18" s="2" t="s">
        <v>65</v>
      </c>
      <c r="HXQ18" t="s">
        <v>14</v>
      </c>
      <c r="HXR18" s="5">
        <v>43521</v>
      </c>
      <c r="HXS18" s="2" t="s">
        <v>68</v>
      </c>
      <c r="HXT18" s="7"/>
      <c r="HXU18"/>
      <c r="HXV18"/>
      <c r="HXW18" s="10">
        <v>-1.01</v>
      </c>
      <c r="HXX18" s="2" t="s">
        <v>65</v>
      </c>
      <c r="HXY18" t="s">
        <v>14</v>
      </c>
      <c r="HXZ18" s="5">
        <v>43521</v>
      </c>
      <c r="HYA18" s="2" t="s">
        <v>68</v>
      </c>
      <c r="HYB18" s="7"/>
      <c r="HYC18"/>
      <c r="HYD18"/>
      <c r="HYE18" s="10">
        <v>-1.01</v>
      </c>
      <c r="HYF18" s="2" t="s">
        <v>65</v>
      </c>
      <c r="HYG18" t="s">
        <v>14</v>
      </c>
      <c r="HYH18" s="5">
        <v>43521</v>
      </c>
      <c r="HYI18" s="2" t="s">
        <v>68</v>
      </c>
      <c r="HYJ18" s="7"/>
      <c r="HYK18"/>
      <c r="HYL18"/>
      <c r="HYM18" s="10">
        <v>-1.01</v>
      </c>
      <c r="HYN18" s="2" t="s">
        <v>65</v>
      </c>
      <c r="HYO18" t="s">
        <v>14</v>
      </c>
      <c r="HYP18" s="5">
        <v>43521</v>
      </c>
      <c r="HYQ18" s="2" t="s">
        <v>68</v>
      </c>
      <c r="HYR18" s="7"/>
      <c r="HYS18"/>
      <c r="HYT18"/>
      <c r="HYU18" s="10">
        <v>-1.01</v>
      </c>
      <c r="HYV18" s="2" t="s">
        <v>65</v>
      </c>
      <c r="HYW18" t="s">
        <v>14</v>
      </c>
      <c r="HYX18" s="5">
        <v>43521</v>
      </c>
      <c r="HYY18" s="2" t="s">
        <v>68</v>
      </c>
      <c r="HYZ18" s="7"/>
      <c r="HZA18"/>
      <c r="HZB18"/>
      <c r="HZC18" s="10">
        <v>-1.01</v>
      </c>
      <c r="HZD18" s="2" t="s">
        <v>65</v>
      </c>
      <c r="HZE18" t="s">
        <v>14</v>
      </c>
      <c r="HZF18" s="5">
        <v>43521</v>
      </c>
      <c r="HZG18" s="2" t="s">
        <v>68</v>
      </c>
      <c r="HZH18" s="7"/>
      <c r="HZI18"/>
      <c r="HZJ18"/>
      <c r="HZK18" s="10">
        <v>-1.01</v>
      </c>
      <c r="HZL18" s="2" t="s">
        <v>65</v>
      </c>
      <c r="HZM18" t="s">
        <v>14</v>
      </c>
      <c r="HZN18" s="5">
        <v>43521</v>
      </c>
      <c r="HZO18" s="2" t="s">
        <v>68</v>
      </c>
      <c r="HZP18" s="7"/>
      <c r="HZQ18"/>
      <c r="HZR18"/>
      <c r="HZS18" s="10">
        <v>-1.01</v>
      </c>
      <c r="HZT18" s="2" t="s">
        <v>65</v>
      </c>
      <c r="HZU18" t="s">
        <v>14</v>
      </c>
      <c r="HZV18" s="5">
        <v>43521</v>
      </c>
      <c r="HZW18" s="2" t="s">
        <v>68</v>
      </c>
      <c r="HZX18" s="7"/>
      <c r="HZY18"/>
      <c r="HZZ18"/>
      <c r="IAA18" s="10">
        <v>-1.01</v>
      </c>
      <c r="IAB18" s="2" t="s">
        <v>65</v>
      </c>
      <c r="IAC18" t="s">
        <v>14</v>
      </c>
      <c r="IAD18" s="5">
        <v>43521</v>
      </c>
      <c r="IAE18" s="2" t="s">
        <v>68</v>
      </c>
      <c r="IAF18" s="7"/>
      <c r="IAG18"/>
      <c r="IAH18"/>
      <c r="IAI18" s="10">
        <v>-1.01</v>
      </c>
      <c r="IAJ18" s="2" t="s">
        <v>65</v>
      </c>
      <c r="IAK18" t="s">
        <v>14</v>
      </c>
      <c r="IAL18" s="5">
        <v>43521</v>
      </c>
      <c r="IAM18" s="2" t="s">
        <v>68</v>
      </c>
      <c r="IAN18" s="7"/>
      <c r="IAO18"/>
      <c r="IAP18"/>
      <c r="IAQ18" s="10">
        <v>-1.01</v>
      </c>
      <c r="IAR18" s="2" t="s">
        <v>65</v>
      </c>
      <c r="IAS18" t="s">
        <v>14</v>
      </c>
      <c r="IAT18" s="5">
        <v>43521</v>
      </c>
      <c r="IAU18" s="2" t="s">
        <v>68</v>
      </c>
      <c r="IAV18" s="7"/>
      <c r="IAW18"/>
      <c r="IAX18"/>
      <c r="IAY18" s="10">
        <v>-1.01</v>
      </c>
      <c r="IAZ18" s="2" t="s">
        <v>65</v>
      </c>
      <c r="IBA18" t="s">
        <v>14</v>
      </c>
      <c r="IBB18" s="5">
        <v>43521</v>
      </c>
      <c r="IBC18" s="2" t="s">
        <v>68</v>
      </c>
      <c r="IBD18" s="7"/>
      <c r="IBE18"/>
      <c r="IBF18"/>
      <c r="IBG18" s="10">
        <v>-1.01</v>
      </c>
      <c r="IBH18" s="2" t="s">
        <v>65</v>
      </c>
      <c r="IBI18" t="s">
        <v>14</v>
      </c>
      <c r="IBJ18" s="5">
        <v>43521</v>
      </c>
      <c r="IBK18" s="2" t="s">
        <v>68</v>
      </c>
      <c r="IBL18" s="7"/>
      <c r="IBM18"/>
      <c r="IBN18"/>
      <c r="IBO18" s="10">
        <v>-1.01</v>
      </c>
      <c r="IBP18" s="2" t="s">
        <v>65</v>
      </c>
      <c r="IBQ18" t="s">
        <v>14</v>
      </c>
      <c r="IBR18" s="5">
        <v>43521</v>
      </c>
      <c r="IBS18" s="2" t="s">
        <v>68</v>
      </c>
      <c r="IBT18" s="7"/>
      <c r="IBU18"/>
      <c r="IBV18"/>
      <c r="IBW18" s="10">
        <v>-1.01</v>
      </c>
      <c r="IBX18" s="2" t="s">
        <v>65</v>
      </c>
      <c r="IBY18" t="s">
        <v>14</v>
      </c>
      <c r="IBZ18" s="5">
        <v>43521</v>
      </c>
      <c r="ICA18" s="2" t="s">
        <v>68</v>
      </c>
      <c r="ICB18" s="7"/>
      <c r="ICC18"/>
      <c r="ICD18"/>
      <c r="ICE18" s="10">
        <v>-1.01</v>
      </c>
      <c r="ICF18" s="2" t="s">
        <v>65</v>
      </c>
      <c r="ICG18" t="s">
        <v>14</v>
      </c>
      <c r="ICH18" s="5">
        <v>43521</v>
      </c>
      <c r="ICI18" s="2" t="s">
        <v>68</v>
      </c>
      <c r="ICJ18" s="7"/>
      <c r="ICK18"/>
      <c r="ICL18"/>
      <c r="ICM18" s="10">
        <v>-1.01</v>
      </c>
      <c r="ICN18" s="2" t="s">
        <v>65</v>
      </c>
      <c r="ICO18" t="s">
        <v>14</v>
      </c>
      <c r="ICP18" s="5">
        <v>43521</v>
      </c>
      <c r="ICQ18" s="2" t="s">
        <v>68</v>
      </c>
      <c r="ICR18" s="7"/>
      <c r="ICS18"/>
      <c r="ICT18"/>
      <c r="ICU18" s="10">
        <v>-1.01</v>
      </c>
      <c r="ICV18" s="2" t="s">
        <v>65</v>
      </c>
      <c r="ICW18" t="s">
        <v>14</v>
      </c>
      <c r="ICX18" s="5">
        <v>43521</v>
      </c>
      <c r="ICY18" s="2" t="s">
        <v>68</v>
      </c>
      <c r="ICZ18" s="7"/>
      <c r="IDA18"/>
      <c r="IDB18"/>
      <c r="IDC18" s="10">
        <v>-1.01</v>
      </c>
      <c r="IDD18" s="2" t="s">
        <v>65</v>
      </c>
      <c r="IDE18" t="s">
        <v>14</v>
      </c>
      <c r="IDF18" s="5">
        <v>43521</v>
      </c>
      <c r="IDG18" s="2" t="s">
        <v>68</v>
      </c>
      <c r="IDH18" s="7"/>
      <c r="IDI18"/>
      <c r="IDJ18"/>
      <c r="IDK18" s="10">
        <v>-1.01</v>
      </c>
      <c r="IDL18" s="2" t="s">
        <v>65</v>
      </c>
      <c r="IDM18" t="s">
        <v>14</v>
      </c>
      <c r="IDN18" s="5">
        <v>43521</v>
      </c>
      <c r="IDO18" s="2" t="s">
        <v>68</v>
      </c>
      <c r="IDP18" s="7"/>
      <c r="IDQ18"/>
      <c r="IDR18"/>
      <c r="IDS18" s="10">
        <v>-1.01</v>
      </c>
      <c r="IDT18" s="2" t="s">
        <v>65</v>
      </c>
      <c r="IDU18" t="s">
        <v>14</v>
      </c>
      <c r="IDV18" s="5">
        <v>43521</v>
      </c>
      <c r="IDW18" s="2" t="s">
        <v>68</v>
      </c>
      <c r="IDX18" s="7"/>
      <c r="IDY18"/>
      <c r="IDZ18"/>
      <c r="IEA18" s="10">
        <v>-1.01</v>
      </c>
      <c r="IEB18" s="2" t="s">
        <v>65</v>
      </c>
      <c r="IEC18" t="s">
        <v>14</v>
      </c>
      <c r="IED18" s="5">
        <v>43521</v>
      </c>
      <c r="IEE18" s="2" t="s">
        <v>68</v>
      </c>
      <c r="IEF18" s="7"/>
      <c r="IEG18"/>
      <c r="IEH18"/>
      <c r="IEI18" s="10">
        <v>-1.01</v>
      </c>
      <c r="IEJ18" s="2" t="s">
        <v>65</v>
      </c>
      <c r="IEK18" t="s">
        <v>14</v>
      </c>
      <c r="IEL18" s="5">
        <v>43521</v>
      </c>
      <c r="IEM18" s="2" t="s">
        <v>68</v>
      </c>
      <c r="IEN18" s="7"/>
      <c r="IEO18"/>
      <c r="IEP18"/>
      <c r="IEQ18" s="10">
        <v>-1.01</v>
      </c>
      <c r="IER18" s="2" t="s">
        <v>65</v>
      </c>
      <c r="IES18" t="s">
        <v>14</v>
      </c>
      <c r="IET18" s="5">
        <v>43521</v>
      </c>
      <c r="IEU18" s="2" t="s">
        <v>68</v>
      </c>
      <c r="IEV18" s="7"/>
      <c r="IEW18"/>
      <c r="IEX18"/>
      <c r="IEY18" s="10">
        <v>-1.01</v>
      </c>
      <c r="IEZ18" s="2" t="s">
        <v>65</v>
      </c>
      <c r="IFA18" t="s">
        <v>14</v>
      </c>
      <c r="IFB18" s="5">
        <v>43521</v>
      </c>
      <c r="IFC18" s="2" t="s">
        <v>68</v>
      </c>
      <c r="IFD18" s="7"/>
      <c r="IFE18"/>
      <c r="IFF18"/>
      <c r="IFG18" s="10">
        <v>-1.01</v>
      </c>
      <c r="IFH18" s="2" t="s">
        <v>65</v>
      </c>
      <c r="IFI18" t="s">
        <v>14</v>
      </c>
      <c r="IFJ18" s="5">
        <v>43521</v>
      </c>
      <c r="IFK18" s="2" t="s">
        <v>68</v>
      </c>
      <c r="IFL18" s="7"/>
      <c r="IFM18"/>
      <c r="IFN18"/>
      <c r="IFO18" s="10">
        <v>-1.01</v>
      </c>
      <c r="IFP18" s="2" t="s">
        <v>65</v>
      </c>
      <c r="IFQ18" t="s">
        <v>14</v>
      </c>
      <c r="IFR18" s="5">
        <v>43521</v>
      </c>
      <c r="IFS18" s="2" t="s">
        <v>68</v>
      </c>
      <c r="IFT18" s="7"/>
      <c r="IFU18"/>
      <c r="IFV18"/>
      <c r="IFW18" s="10">
        <v>-1.01</v>
      </c>
      <c r="IFX18" s="2" t="s">
        <v>65</v>
      </c>
      <c r="IFY18" t="s">
        <v>14</v>
      </c>
      <c r="IFZ18" s="5">
        <v>43521</v>
      </c>
      <c r="IGA18" s="2" t="s">
        <v>68</v>
      </c>
      <c r="IGB18" s="7"/>
      <c r="IGC18"/>
      <c r="IGD18"/>
      <c r="IGE18" s="10">
        <v>-1.01</v>
      </c>
      <c r="IGF18" s="2" t="s">
        <v>65</v>
      </c>
      <c r="IGG18" t="s">
        <v>14</v>
      </c>
      <c r="IGH18" s="5">
        <v>43521</v>
      </c>
      <c r="IGI18" s="2" t="s">
        <v>68</v>
      </c>
      <c r="IGJ18" s="7"/>
      <c r="IGK18"/>
      <c r="IGL18"/>
      <c r="IGM18" s="10">
        <v>-1.01</v>
      </c>
      <c r="IGN18" s="2" t="s">
        <v>65</v>
      </c>
      <c r="IGO18" t="s">
        <v>14</v>
      </c>
      <c r="IGP18" s="5">
        <v>43521</v>
      </c>
      <c r="IGQ18" s="2" t="s">
        <v>68</v>
      </c>
      <c r="IGR18" s="7"/>
      <c r="IGS18"/>
      <c r="IGT18"/>
      <c r="IGU18" s="10">
        <v>-1.01</v>
      </c>
      <c r="IGV18" s="2" t="s">
        <v>65</v>
      </c>
      <c r="IGW18" t="s">
        <v>14</v>
      </c>
      <c r="IGX18" s="5">
        <v>43521</v>
      </c>
      <c r="IGY18" s="2" t="s">
        <v>68</v>
      </c>
      <c r="IGZ18" s="7"/>
      <c r="IHA18"/>
      <c r="IHB18"/>
      <c r="IHC18" s="10">
        <v>-1.01</v>
      </c>
      <c r="IHD18" s="2" t="s">
        <v>65</v>
      </c>
      <c r="IHE18" t="s">
        <v>14</v>
      </c>
      <c r="IHF18" s="5">
        <v>43521</v>
      </c>
      <c r="IHG18" s="2" t="s">
        <v>68</v>
      </c>
      <c r="IHH18" s="7"/>
      <c r="IHI18"/>
      <c r="IHJ18"/>
      <c r="IHK18" s="10">
        <v>-1.01</v>
      </c>
      <c r="IHL18" s="2" t="s">
        <v>65</v>
      </c>
      <c r="IHM18" t="s">
        <v>14</v>
      </c>
      <c r="IHN18" s="5">
        <v>43521</v>
      </c>
      <c r="IHO18" s="2" t="s">
        <v>68</v>
      </c>
      <c r="IHP18" s="7"/>
      <c r="IHQ18"/>
      <c r="IHR18"/>
      <c r="IHS18" s="10">
        <v>-1.01</v>
      </c>
      <c r="IHT18" s="2" t="s">
        <v>65</v>
      </c>
      <c r="IHU18" t="s">
        <v>14</v>
      </c>
      <c r="IHV18" s="5">
        <v>43521</v>
      </c>
      <c r="IHW18" s="2" t="s">
        <v>68</v>
      </c>
      <c r="IHX18" s="7"/>
      <c r="IHY18"/>
      <c r="IHZ18"/>
      <c r="IIA18" s="10">
        <v>-1.01</v>
      </c>
      <c r="IIB18" s="2" t="s">
        <v>65</v>
      </c>
      <c r="IIC18" t="s">
        <v>14</v>
      </c>
      <c r="IID18" s="5">
        <v>43521</v>
      </c>
      <c r="IIE18" s="2" t="s">
        <v>68</v>
      </c>
      <c r="IIF18" s="7"/>
      <c r="IIG18"/>
      <c r="IIH18"/>
      <c r="III18" s="10">
        <v>-1.01</v>
      </c>
      <c r="IIJ18" s="2" t="s">
        <v>65</v>
      </c>
      <c r="IIK18" t="s">
        <v>14</v>
      </c>
      <c r="IIL18" s="5">
        <v>43521</v>
      </c>
      <c r="IIM18" s="2" t="s">
        <v>68</v>
      </c>
      <c r="IIN18" s="7"/>
      <c r="IIO18"/>
      <c r="IIP18"/>
      <c r="IIQ18" s="10">
        <v>-1.01</v>
      </c>
      <c r="IIR18" s="2" t="s">
        <v>65</v>
      </c>
      <c r="IIS18" t="s">
        <v>14</v>
      </c>
      <c r="IIT18" s="5">
        <v>43521</v>
      </c>
      <c r="IIU18" s="2" t="s">
        <v>68</v>
      </c>
      <c r="IIV18" s="7"/>
      <c r="IIW18"/>
      <c r="IIX18"/>
      <c r="IIY18" s="10">
        <v>-1.01</v>
      </c>
      <c r="IIZ18" s="2" t="s">
        <v>65</v>
      </c>
      <c r="IJA18" t="s">
        <v>14</v>
      </c>
      <c r="IJB18" s="5">
        <v>43521</v>
      </c>
      <c r="IJC18" s="2" t="s">
        <v>68</v>
      </c>
      <c r="IJD18" s="7"/>
      <c r="IJE18"/>
      <c r="IJF18"/>
      <c r="IJG18" s="10">
        <v>-1.01</v>
      </c>
      <c r="IJH18" s="2" t="s">
        <v>65</v>
      </c>
      <c r="IJI18" t="s">
        <v>14</v>
      </c>
      <c r="IJJ18" s="5">
        <v>43521</v>
      </c>
      <c r="IJK18" s="2" t="s">
        <v>68</v>
      </c>
      <c r="IJL18" s="7"/>
      <c r="IJM18"/>
      <c r="IJN18"/>
      <c r="IJO18" s="10">
        <v>-1.01</v>
      </c>
      <c r="IJP18" s="2" t="s">
        <v>65</v>
      </c>
      <c r="IJQ18" t="s">
        <v>14</v>
      </c>
      <c r="IJR18" s="5">
        <v>43521</v>
      </c>
      <c r="IJS18" s="2" t="s">
        <v>68</v>
      </c>
      <c r="IJT18" s="7"/>
      <c r="IJU18"/>
      <c r="IJV18"/>
      <c r="IJW18" s="10">
        <v>-1.01</v>
      </c>
      <c r="IJX18" s="2" t="s">
        <v>65</v>
      </c>
      <c r="IJY18" t="s">
        <v>14</v>
      </c>
      <c r="IJZ18" s="5">
        <v>43521</v>
      </c>
      <c r="IKA18" s="2" t="s">
        <v>68</v>
      </c>
      <c r="IKB18" s="7"/>
      <c r="IKC18"/>
      <c r="IKD18"/>
      <c r="IKE18" s="10">
        <v>-1.01</v>
      </c>
      <c r="IKF18" s="2" t="s">
        <v>65</v>
      </c>
      <c r="IKG18" t="s">
        <v>14</v>
      </c>
      <c r="IKH18" s="5">
        <v>43521</v>
      </c>
      <c r="IKI18" s="2" t="s">
        <v>68</v>
      </c>
      <c r="IKJ18" s="7"/>
      <c r="IKK18"/>
      <c r="IKL18"/>
      <c r="IKM18" s="10">
        <v>-1.01</v>
      </c>
      <c r="IKN18" s="2" t="s">
        <v>65</v>
      </c>
      <c r="IKO18" t="s">
        <v>14</v>
      </c>
      <c r="IKP18" s="5">
        <v>43521</v>
      </c>
      <c r="IKQ18" s="2" t="s">
        <v>68</v>
      </c>
      <c r="IKR18" s="7"/>
      <c r="IKS18"/>
      <c r="IKT18"/>
      <c r="IKU18" s="10">
        <v>-1.01</v>
      </c>
      <c r="IKV18" s="2" t="s">
        <v>65</v>
      </c>
      <c r="IKW18" t="s">
        <v>14</v>
      </c>
      <c r="IKX18" s="5">
        <v>43521</v>
      </c>
      <c r="IKY18" s="2" t="s">
        <v>68</v>
      </c>
      <c r="IKZ18" s="7"/>
      <c r="ILA18"/>
      <c r="ILB18"/>
      <c r="ILC18" s="10">
        <v>-1.01</v>
      </c>
      <c r="ILD18" s="2" t="s">
        <v>65</v>
      </c>
      <c r="ILE18" t="s">
        <v>14</v>
      </c>
      <c r="ILF18" s="5">
        <v>43521</v>
      </c>
      <c r="ILG18" s="2" t="s">
        <v>68</v>
      </c>
      <c r="ILH18" s="7"/>
      <c r="ILI18"/>
      <c r="ILJ18"/>
      <c r="ILK18" s="10">
        <v>-1.01</v>
      </c>
      <c r="ILL18" s="2" t="s">
        <v>65</v>
      </c>
      <c r="ILM18" t="s">
        <v>14</v>
      </c>
      <c r="ILN18" s="5">
        <v>43521</v>
      </c>
      <c r="ILO18" s="2" t="s">
        <v>68</v>
      </c>
      <c r="ILP18" s="7"/>
      <c r="ILQ18"/>
      <c r="ILR18"/>
      <c r="ILS18" s="10">
        <v>-1.01</v>
      </c>
      <c r="ILT18" s="2" t="s">
        <v>65</v>
      </c>
      <c r="ILU18" t="s">
        <v>14</v>
      </c>
      <c r="ILV18" s="5">
        <v>43521</v>
      </c>
      <c r="ILW18" s="2" t="s">
        <v>68</v>
      </c>
      <c r="ILX18" s="7"/>
      <c r="ILY18"/>
      <c r="ILZ18"/>
      <c r="IMA18" s="10">
        <v>-1.01</v>
      </c>
      <c r="IMB18" s="2" t="s">
        <v>65</v>
      </c>
      <c r="IMC18" t="s">
        <v>14</v>
      </c>
      <c r="IMD18" s="5">
        <v>43521</v>
      </c>
      <c r="IME18" s="2" t="s">
        <v>68</v>
      </c>
      <c r="IMF18" s="7"/>
      <c r="IMG18"/>
      <c r="IMH18"/>
      <c r="IMI18" s="10">
        <v>-1.01</v>
      </c>
      <c r="IMJ18" s="2" t="s">
        <v>65</v>
      </c>
      <c r="IMK18" t="s">
        <v>14</v>
      </c>
      <c r="IML18" s="5">
        <v>43521</v>
      </c>
      <c r="IMM18" s="2" t="s">
        <v>68</v>
      </c>
      <c r="IMN18" s="7"/>
      <c r="IMO18"/>
      <c r="IMP18"/>
      <c r="IMQ18" s="10">
        <v>-1.01</v>
      </c>
      <c r="IMR18" s="2" t="s">
        <v>65</v>
      </c>
      <c r="IMS18" t="s">
        <v>14</v>
      </c>
      <c r="IMT18" s="5">
        <v>43521</v>
      </c>
      <c r="IMU18" s="2" t="s">
        <v>68</v>
      </c>
      <c r="IMV18" s="7"/>
      <c r="IMW18"/>
      <c r="IMX18"/>
      <c r="IMY18" s="10">
        <v>-1.01</v>
      </c>
      <c r="IMZ18" s="2" t="s">
        <v>65</v>
      </c>
      <c r="INA18" t="s">
        <v>14</v>
      </c>
      <c r="INB18" s="5">
        <v>43521</v>
      </c>
      <c r="INC18" s="2" t="s">
        <v>68</v>
      </c>
      <c r="IND18" s="7"/>
      <c r="INE18"/>
      <c r="INF18"/>
      <c r="ING18" s="10">
        <v>-1.01</v>
      </c>
      <c r="INH18" s="2" t="s">
        <v>65</v>
      </c>
      <c r="INI18" t="s">
        <v>14</v>
      </c>
      <c r="INJ18" s="5">
        <v>43521</v>
      </c>
      <c r="INK18" s="2" t="s">
        <v>68</v>
      </c>
      <c r="INL18" s="7"/>
      <c r="INM18"/>
      <c r="INN18"/>
      <c r="INO18" s="10">
        <v>-1.01</v>
      </c>
      <c r="INP18" s="2" t="s">
        <v>65</v>
      </c>
      <c r="INQ18" t="s">
        <v>14</v>
      </c>
      <c r="INR18" s="5">
        <v>43521</v>
      </c>
      <c r="INS18" s="2" t="s">
        <v>68</v>
      </c>
      <c r="INT18" s="7"/>
      <c r="INU18"/>
      <c r="INV18"/>
      <c r="INW18" s="10">
        <v>-1.01</v>
      </c>
      <c r="INX18" s="2" t="s">
        <v>65</v>
      </c>
      <c r="INY18" t="s">
        <v>14</v>
      </c>
      <c r="INZ18" s="5">
        <v>43521</v>
      </c>
      <c r="IOA18" s="2" t="s">
        <v>68</v>
      </c>
      <c r="IOB18" s="7"/>
      <c r="IOC18"/>
      <c r="IOD18"/>
      <c r="IOE18" s="10">
        <v>-1.01</v>
      </c>
      <c r="IOF18" s="2" t="s">
        <v>65</v>
      </c>
      <c r="IOG18" t="s">
        <v>14</v>
      </c>
      <c r="IOH18" s="5">
        <v>43521</v>
      </c>
      <c r="IOI18" s="2" t="s">
        <v>68</v>
      </c>
      <c r="IOJ18" s="7"/>
      <c r="IOK18"/>
      <c r="IOL18"/>
      <c r="IOM18" s="10">
        <v>-1.01</v>
      </c>
      <c r="ION18" s="2" t="s">
        <v>65</v>
      </c>
      <c r="IOO18" t="s">
        <v>14</v>
      </c>
      <c r="IOP18" s="5">
        <v>43521</v>
      </c>
      <c r="IOQ18" s="2" t="s">
        <v>68</v>
      </c>
      <c r="IOR18" s="7"/>
      <c r="IOS18"/>
      <c r="IOT18"/>
      <c r="IOU18" s="10">
        <v>-1.01</v>
      </c>
      <c r="IOV18" s="2" t="s">
        <v>65</v>
      </c>
      <c r="IOW18" t="s">
        <v>14</v>
      </c>
      <c r="IOX18" s="5">
        <v>43521</v>
      </c>
      <c r="IOY18" s="2" t="s">
        <v>68</v>
      </c>
      <c r="IOZ18" s="7"/>
      <c r="IPA18"/>
      <c r="IPB18"/>
      <c r="IPC18" s="10">
        <v>-1.01</v>
      </c>
      <c r="IPD18" s="2" t="s">
        <v>65</v>
      </c>
      <c r="IPE18" t="s">
        <v>14</v>
      </c>
      <c r="IPF18" s="5">
        <v>43521</v>
      </c>
      <c r="IPG18" s="2" t="s">
        <v>68</v>
      </c>
      <c r="IPH18" s="7"/>
      <c r="IPI18"/>
      <c r="IPJ18"/>
      <c r="IPK18" s="10">
        <v>-1.01</v>
      </c>
      <c r="IPL18" s="2" t="s">
        <v>65</v>
      </c>
      <c r="IPM18" t="s">
        <v>14</v>
      </c>
      <c r="IPN18" s="5">
        <v>43521</v>
      </c>
      <c r="IPO18" s="2" t="s">
        <v>68</v>
      </c>
      <c r="IPP18" s="7"/>
      <c r="IPQ18"/>
      <c r="IPR18"/>
      <c r="IPS18" s="10">
        <v>-1.01</v>
      </c>
      <c r="IPT18" s="2" t="s">
        <v>65</v>
      </c>
      <c r="IPU18" t="s">
        <v>14</v>
      </c>
      <c r="IPV18" s="5">
        <v>43521</v>
      </c>
      <c r="IPW18" s="2" t="s">
        <v>68</v>
      </c>
      <c r="IPX18" s="7"/>
      <c r="IPY18"/>
      <c r="IPZ18"/>
      <c r="IQA18" s="10">
        <v>-1.01</v>
      </c>
      <c r="IQB18" s="2" t="s">
        <v>65</v>
      </c>
      <c r="IQC18" t="s">
        <v>14</v>
      </c>
      <c r="IQD18" s="5">
        <v>43521</v>
      </c>
      <c r="IQE18" s="2" t="s">
        <v>68</v>
      </c>
      <c r="IQF18" s="7"/>
      <c r="IQG18"/>
      <c r="IQH18"/>
      <c r="IQI18" s="10">
        <v>-1.01</v>
      </c>
      <c r="IQJ18" s="2" t="s">
        <v>65</v>
      </c>
      <c r="IQK18" t="s">
        <v>14</v>
      </c>
      <c r="IQL18" s="5">
        <v>43521</v>
      </c>
      <c r="IQM18" s="2" t="s">
        <v>68</v>
      </c>
      <c r="IQN18" s="7"/>
      <c r="IQO18"/>
      <c r="IQP18"/>
      <c r="IQQ18" s="10">
        <v>-1.01</v>
      </c>
      <c r="IQR18" s="2" t="s">
        <v>65</v>
      </c>
      <c r="IQS18" t="s">
        <v>14</v>
      </c>
      <c r="IQT18" s="5">
        <v>43521</v>
      </c>
      <c r="IQU18" s="2" t="s">
        <v>68</v>
      </c>
      <c r="IQV18" s="7"/>
      <c r="IQW18"/>
      <c r="IQX18"/>
      <c r="IQY18" s="10">
        <v>-1.01</v>
      </c>
      <c r="IQZ18" s="2" t="s">
        <v>65</v>
      </c>
      <c r="IRA18" t="s">
        <v>14</v>
      </c>
      <c r="IRB18" s="5">
        <v>43521</v>
      </c>
      <c r="IRC18" s="2" t="s">
        <v>68</v>
      </c>
      <c r="IRD18" s="7"/>
      <c r="IRE18"/>
      <c r="IRF18"/>
      <c r="IRG18" s="10">
        <v>-1.01</v>
      </c>
      <c r="IRH18" s="2" t="s">
        <v>65</v>
      </c>
      <c r="IRI18" t="s">
        <v>14</v>
      </c>
      <c r="IRJ18" s="5">
        <v>43521</v>
      </c>
      <c r="IRK18" s="2" t="s">
        <v>68</v>
      </c>
      <c r="IRL18" s="7"/>
      <c r="IRM18"/>
      <c r="IRN18"/>
      <c r="IRO18" s="10">
        <v>-1.01</v>
      </c>
      <c r="IRP18" s="2" t="s">
        <v>65</v>
      </c>
      <c r="IRQ18" t="s">
        <v>14</v>
      </c>
      <c r="IRR18" s="5">
        <v>43521</v>
      </c>
      <c r="IRS18" s="2" t="s">
        <v>68</v>
      </c>
      <c r="IRT18" s="7"/>
      <c r="IRU18"/>
      <c r="IRV18"/>
      <c r="IRW18" s="10">
        <v>-1.01</v>
      </c>
      <c r="IRX18" s="2" t="s">
        <v>65</v>
      </c>
      <c r="IRY18" t="s">
        <v>14</v>
      </c>
      <c r="IRZ18" s="5">
        <v>43521</v>
      </c>
      <c r="ISA18" s="2" t="s">
        <v>68</v>
      </c>
      <c r="ISB18" s="7"/>
      <c r="ISC18"/>
      <c r="ISD18"/>
      <c r="ISE18" s="10">
        <v>-1.01</v>
      </c>
      <c r="ISF18" s="2" t="s">
        <v>65</v>
      </c>
      <c r="ISG18" t="s">
        <v>14</v>
      </c>
      <c r="ISH18" s="5">
        <v>43521</v>
      </c>
      <c r="ISI18" s="2" t="s">
        <v>68</v>
      </c>
      <c r="ISJ18" s="7"/>
      <c r="ISK18"/>
      <c r="ISL18"/>
      <c r="ISM18" s="10">
        <v>-1.01</v>
      </c>
      <c r="ISN18" s="2" t="s">
        <v>65</v>
      </c>
      <c r="ISO18" t="s">
        <v>14</v>
      </c>
      <c r="ISP18" s="5">
        <v>43521</v>
      </c>
      <c r="ISQ18" s="2" t="s">
        <v>68</v>
      </c>
      <c r="ISR18" s="7"/>
      <c r="ISS18"/>
      <c r="IST18"/>
      <c r="ISU18" s="10">
        <v>-1.01</v>
      </c>
      <c r="ISV18" s="2" t="s">
        <v>65</v>
      </c>
      <c r="ISW18" t="s">
        <v>14</v>
      </c>
      <c r="ISX18" s="5">
        <v>43521</v>
      </c>
      <c r="ISY18" s="2" t="s">
        <v>68</v>
      </c>
      <c r="ISZ18" s="7"/>
      <c r="ITA18"/>
      <c r="ITB18"/>
      <c r="ITC18" s="10">
        <v>-1.01</v>
      </c>
      <c r="ITD18" s="2" t="s">
        <v>65</v>
      </c>
      <c r="ITE18" t="s">
        <v>14</v>
      </c>
      <c r="ITF18" s="5">
        <v>43521</v>
      </c>
      <c r="ITG18" s="2" t="s">
        <v>68</v>
      </c>
      <c r="ITH18" s="7"/>
      <c r="ITI18"/>
      <c r="ITJ18"/>
      <c r="ITK18" s="10">
        <v>-1.01</v>
      </c>
      <c r="ITL18" s="2" t="s">
        <v>65</v>
      </c>
      <c r="ITM18" t="s">
        <v>14</v>
      </c>
      <c r="ITN18" s="5">
        <v>43521</v>
      </c>
      <c r="ITO18" s="2" t="s">
        <v>68</v>
      </c>
      <c r="ITP18" s="7"/>
      <c r="ITQ18"/>
      <c r="ITR18"/>
      <c r="ITS18" s="10">
        <v>-1.01</v>
      </c>
      <c r="ITT18" s="2" t="s">
        <v>65</v>
      </c>
      <c r="ITU18" t="s">
        <v>14</v>
      </c>
      <c r="ITV18" s="5">
        <v>43521</v>
      </c>
      <c r="ITW18" s="2" t="s">
        <v>68</v>
      </c>
      <c r="ITX18" s="7"/>
      <c r="ITY18"/>
      <c r="ITZ18"/>
      <c r="IUA18" s="10">
        <v>-1.01</v>
      </c>
      <c r="IUB18" s="2" t="s">
        <v>65</v>
      </c>
      <c r="IUC18" t="s">
        <v>14</v>
      </c>
      <c r="IUD18" s="5">
        <v>43521</v>
      </c>
      <c r="IUE18" s="2" t="s">
        <v>68</v>
      </c>
      <c r="IUF18" s="7"/>
      <c r="IUG18"/>
      <c r="IUH18"/>
      <c r="IUI18" s="10">
        <v>-1.01</v>
      </c>
      <c r="IUJ18" s="2" t="s">
        <v>65</v>
      </c>
      <c r="IUK18" t="s">
        <v>14</v>
      </c>
      <c r="IUL18" s="5">
        <v>43521</v>
      </c>
      <c r="IUM18" s="2" t="s">
        <v>68</v>
      </c>
      <c r="IUN18" s="7"/>
      <c r="IUO18"/>
      <c r="IUP18"/>
      <c r="IUQ18" s="10">
        <v>-1.01</v>
      </c>
      <c r="IUR18" s="2" t="s">
        <v>65</v>
      </c>
      <c r="IUS18" t="s">
        <v>14</v>
      </c>
      <c r="IUT18" s="5">
        <v>43521</v>
      </c>
      <c r="IUU18" s="2" t="s">
        <v>68</v>
      </c>
      <c r="IUV18" s="7"/>
      <c r="IUW18"/>
      <c r="IUX18"/>
      <c r="IUY18" s="10">
        <v>-1.01</v>
      </c>
      <c r="IUZ18" s="2" t="s">
        <v>65</v>
      </c>
      <c r="IVA18" t="s">
        <v>14</v>
      </c>
      <c r="IVB18" s="5">
        <v>43521</v>
      </c>
      <c r="IVC18" s="2" t="s">
        <v>68</v>
      </c>
      <c r="IVD18" s="7"/>
      <c r="IVE18"/>
      <c r="IVF18"/>
      <c r="IVG18" s="10">
        <v>-1.01</v>
      </c>
      <c r="IVH18" s="2" t="s">
        <v>65</v>
      </c>
      <c r="IVI18" t="s">
        <v>14</v>
      </c>
      <c r="IVJ18" s="5">
        <v>43521</v>
      </c>
      <c r="IVK18" s="2" t="s">
        <v>68</v>
      </c>
      <c r="IVL18" s="7"/>
      <c r="IVM18"/>
      <c r="IVN18"/>
      <c r="IVO18" s="10">
        <v>-1.01</v>
      </c>
      <c r="IVP18" s="2" t="s">
        <v>65</v>
      </c>
      <c r="IVQ18" t="s">
        <v>14</v>
      </c>
      <c r="IVR18" s="5">
        <v>43521</v>
      </c>
      <c r="IVS18" s="2" t="s">
        <v>68</v>
      </c>
      <c r="IVT18" s="7"/>
      <c r="IVU18"/>
      <c r="IVV18"/>
      <c r="IVW18" s="10">
        <v>-1.01</v>
      </c>
      <c r="IVX18" s="2" t="s">
        <v>65</v>
      </c>
      <c r="IVY18" t="s">
        <v>14</v>
      </c>
      <c r="IVZ18" s="5">
        <v>43521</v>
      </c>
      <c r="IWA18" s="2" t="s">
        <v>68</v>
      </c>
      <c r="IWB18" s="7"/>
      <c r="IWC18"/>
      <c r="IWD18"/>
      <c r="IWE18" s="10">
        <v>-1.01</v>
      </c>
      <c r="IWF18" s="2" t="s">
        <v>65</v>
      </c>
      <c r="IWG18" t="s">
        <v>14</v>
      </c>
      <c r="IWH18" s="5">
        <v>43521</v>
      </c>
      <c r="IWI18" s="2" t="s">
        <v>68</v>
      </c>
      <c r="IWJ18" s="7"/>
      <c r="IWK18"/>
      <c r="IWL18"/>
      <c r="IWM18" s="10">
        <v>-1.01</v>
      </c>
      <c r="IWN18" s="2" t="s">
        <v>65</v>
      </c>
      <c r="IWO18" t="s">
        <v>14</v>
      </c>
      <c r="IWP18" s="5">
        <v>43521</v>
      </c>
      <c r="IWQ18" s="2" t="s">
        <v>68</v>
      </c>
      <c r="IWR18" s="7"/>
      <c r="IWS18"/>
      <c r="IWT18"/>
      <c r="IWU18" s="10">
        <v>-1.01</v>
      </c>
      <c r="IWV18" s="2" t="s">
        <v>65</v>
      </c>
      <c r="IWW18" t="s">
        <v>14</v>
      </c>
      <c r="IWX18" s="5">
        <v>43521</v>
      </c>
      <c r="IWY18" s="2" t="s">
        <v>68</v>
      </c>
      <c r="IWZ18" s="7"/>
      <c r="IXA18"/>
      <c r="IXB18"/>
      <c r="IXC18" s="10">
        <v>-1.01</v>
      </c>
      <c r="IXD18" s="2" t="s">
        <v>65</v>
      </c>
      <c r="IXE18" t="s">
        <v>14</v>
      </c>
      <c r="IXF18" s="5">
        <v>43521</v>
      </c>
      <c r="IXG18" s="2" t="s">
        <v>68</v>
      </c>
      <c r="IXH18" s="7"/>
      <c r="IXI18"/>
      <c r="IXJ18"/>
      <c r="IXK18" s="10">
        <v>-1.01</v>
      </c>
      <c r="IXL18" s="2" t="s">
        <v>65</v>
      </c>
      <c r="IXM18" t="s">
        <v>14</v>
      </c>
      <c r="IXN18" s="5">
        <v>43521</v>
      </c>
      <c r="IXO18" s="2" t="s">
        <v>68</v>
      </c>
      <c r="IXP18" s="7"/>
      <c r="IXQ18"/>
      <c r="IXR18"/>
      <c r="IXS18" s="10">
        <v>-1.01</v>
      </c>
      <c r="IXT18" s="2" t="s">
        <v>65</v>
      </c>
      <c r="IXU18" t="s">
        <v>14</v>
      </c>
      <c r="IXV18" s="5">
        <v>43521</v>
      </c>
      <c r="IXW18" s="2" t="s">
        <v>68</v>
      </c>
      <c r="IXX18" s="7"/>
      <c r="IXY18"/>
      <c r="IXZ18"/>
      <c r="IYA18" s="10">
        <v>-1.01</v>
      </c>
      <c r="IYB18" s="2" t="s">
        <v>65</v>
      </c>
      <c r="IYC18" t="s">
        <v>14</v>
      </c>
      <c r="IYD18" s="5">
        <v>43521</v>
      </c>
      <c r="IYE18" s="2" t="s">
        <v>68</v>
      </c>
      <c r="IYF18" s="7"/>
      <c r="IYG18"/>
      <c r="IYH18"/>
      <c r="IYI18" s="10">
        <v>-1.01</v>
      </c>
      <c r="IYJ18" s="2" t="s">
        <v>65</v>
      </c>
      <c r="IYK18" t="s">
        <v>14</v>
      </c>
      <c r="IYL18" s="5">
        <v>43521</v>
      </c>
      <c r="IYM18" s="2" t="s">
        <v>68</v>
      </c>
      <c r="IYN18" s="7"/>
      <c r="IYO18"/>
      <c r="IYP18"/>
      <c r="IYQ18" s="10">
        <v>-1.01</v>
      </c>
      <c r="IYR18" s="2" t="s">
        <v>65</v>
      </c>
      <c r="IYS18" t="s">
        <v>14</v>
      </c>
      <c r="IYT18" s="5">
        <v>43521</v>
      </c>
      <c r="IYU18" s="2" t="s">
        <v>68</v>
      </c>
      <c r="IYV18" s="7"/>
      <c r="IYW18"/>
      <c r="IYX18"/>
      <c r="IYY18" s="10">
        <v>-1.01</v>
      </c>
      <c r="IYZ18" s="2" t="s">
        <v>65</v>
      </c>
      <c r="IZA18" t="s">
        <v>14</v>
      </c>
      <c r="IZB18" s="5">
        <v>43521</v>
      </c>
      <c r="IZC18" s="2" t="s">
        <v>68</v>
      </c>
      <c r="IZD18" s="7"/>
      <c r="IZE18"/>
      <c r="IZF18"/>
      <c r="IZG18" s="10">
        <v>-1.01</v>
      </c>
      <c r="IZH18" s="2" t="s">
        <v>65</v>
      </c>
      <c r="IZI18" t="s">
        <v>14</v>
      </c>
      <c r="IZJ18" s="5">
        <v>43521</v>
      </c>
      <c r="IZK18" s="2" t="s">
        <v>68</v>
      </c>
      <c r="IZL18" s="7"/>
      <c r="IZM18"/>
      <c r="IZN18"/>
      <c r="IZO18" s="10">
        <v>-1.01</v>
      </c>
      <c r="IZP18" s="2" t="s">
        <v>65</v>
      </c>
      <c r="IZQ18" t="s">
        <v>14</v>
      </c>
      <c r="IZR18" s="5">
        <v>43521</v>
      </c>
      <c r="IZS18" s="2" t="s">
        <v>68</v>
      </c>
      <c r="IZT18" s="7"/>
      <c r="IZU18"/>
      <c r="IZV18"/>
      <c r="IZW18" s="10">
        <v>-1.01</v>
      </c>
      <c r="IZX18" s="2" t="s">
        <v>65</v>
      </c>
      <c r="IZY18" t="s">
        <v>14</v>
      </c>
      <c r="IZZ18" s="5">
        <v>43521</v>
      </c>
      <c r="JAA18" s="2" t="s">
        <v>68</v>
      </c>
      <c r="JAB18" s="7"/>
      <c r="JAC18"/>
      <c r="JAD18"/>
      <c r="JAE18" s="10">
        <v>-1.01</v>
      </c>
      <c r="JAF18" s="2" t="s">
        <v>65</v>
      </c>
      <c r="JAG18" t="s">
        <v>14</v>
      </c>
      <c r="JAH18" s="5">
        <v>43521</v>
      </c>
      <c r="JAI18" s="2" t="s">
        <v>68</v>
      </c>
      <c r="JAJ18" s="7"/>
      <c r="JAK18"/>
      <c r="JAL18"/>
      <c r="JAM18" s="10">
        <v>-1.01</v>
      </c>
      <c r="JAN18" s="2" t="s">
        <v>65</v>
      </c>
      <c r="JAO18" t="s">
        <v>14</v>
      </c>
      <c r="JAP18" s="5">
        <v>43521</v>
      </c>
      <c r="JAQ18" s="2" t="s">
        <v>68</v>
      </c>
      <c r="JAR18" s="7"/>
      <c r="JAS18"/>
      <c r="JAT18"/>
      <c r="JAU18" s="10">
        <v>-1.01</v>
      </c>
      <c r="JAV18" s="2" t="s">
        <v>65</v>
      </c>
      <c r="JAW18" t="s">
        <v>14</v>
      </c>
      <c r="JAX18" s="5">
        <v>43521</v>
      </c>
      <c r="JAY18" s="2" t="s">
        <v>68</v>
      </c>
      <c r="JAZ18" s="7"/>
      <c r="JBA18"/>
      <c r="JBB18"/>
      <c r="JBC18" s="10">
        <v>-1.01</v>
      </c>
      <c r="JBD18" s="2" t="s">
        <v>65</v>
      </c>
      <c r="JBE18" t="s">
        <v>14</v>
      </c>
      <c r="JBF18" s="5">
        <v>43521</v>
      </c>
      <c r="JBG18" s="2" t="s">
        <v>68</v>
      </c>
      <c r="JBH18" s="7"/>
      <c r="JBI18"/>
      <c r="JBJ18"/>
      <c r="JBK18" s="10">
        <v>-1.01</v>
      </c>
      <c r="JBL18" s="2" t="s">
        <v>65</v>
      </c>
      <c r="JBM18" t="s">
        <v>14</v>
      </c>
      <c r="JBN18" s="5">
        <v>43521</v>
      </c>
      <c r="JBO18" s="2" t="s">
        <v>68</v>
      </c>
      <c r="JBP18" s="7"/>
      <c r="JBQ18"/>
      <c r="JBR18"/>
      <c r="JBS18" s="10">
        <v>-1.01</v>
      </c>
      <c r="JBT18" s="2" t="s">
        <v>65</v>
      </c>
      <c r="JBU18" t="s">
        <v>14</v>
      </c>
      <c r="JBV18" s="5">
        <v>43521</v>
      </c>
      <c r="JBW18" s="2" t="s">
        <v>68</v>
      </c>
      <c r="JBX18" s="7"/>
      <c r="JBY18"/>
      <c r="JBZ18"/>
      <c r="JCA18" s="10">
        <v>-1.01</v>
      </c>
      <c r="JCB18" s="2" t="s">
        <v>65</v>
      </c>
      <c r="JCC18" t="s">
        <v>14</v>
      </c>
      <c r="JCD18" s="5">
        <v>43521</v>
      </c>
      <c r="JCE18" s="2" t="s">
        <v>68</v>
      </c>
      <c r="JCF18" s="7"/>
      <c r="JCG18"/>
      <c r="JCH18"/>
      <c r="JCI18" s="10">
        <v>-1.01</v>
      </c>
      <c r="JCJ18" s="2" t="s">
        <v>65</v>
      </c>
      <c r="JCK18" t="s">
        <v>14</v>
      </c>
      <c r="JCL18" s="5">
        <v>43521</v>
      </c>
      <c r="JCM18" s="2" t="s">
        <v>68</v>
      </c>
      <c r="JCN18" s="7"/>
      <c r="JCO18"/>
      <c r="JCP18"/>
      <c r="JCQ18" s="10">
        <v>-1.01</v>
      </c>
      <c r="JCR18" s="2" t="s">
        <v>65</v>
      </c>
      <c r="JCS18" t="s">
        <v>14</v>
      </c>
      <c r="JCT18" s="5">
        <v>43521</v>
      </c>
      <c r="JCU18" s="2" t="s">
        <v>68</v>
      </c>
      <c r="JCV18" s="7"/>
      <c r="JCW18"/>
      <c r="JCX18"/>
      <c r="JCY18" s="10">
        <v>-1.01</v>
      </c>
      <c r="JCZ18" s="2" t="s">
        <v>65</v>
      </c>
      <c r="JDA18" t="s">
        <v>14</v>
      </c>
      <c r="JDB18" s="5">
        <v>43521</v>
      </c>
      <c r="JDC18" s="2" t="s">
        <v>68</v>
      </c>
      <c r="JDD18" s="7"/>
      <c r="JDE18"/>
      <c r="JDF18"/>
      <c r="JDG18" s="10">
        <v>-1.01</v>
      </c>
      <c r="JDH18" s="2" t="s">
        <v>65</v>
      </c>
      <c r="JDI18" t="s">
        <v>14</v>
      </c>
      <c r="JDJ18" s="5">
        <v>43521</v>
      </c>
      <c r="JDK18" s="2" t="s">
        <v>68</v>
      </c>
      <c r="JDL18" s="7"/>
      <c r="JDM18"/>
      <c r="JDN18"/>
      <c r="JDO18" s="10">
        <v>-1.01</v>
      </c>
      <c r="JDP18" s="2" t="s">
        <v>65</v>
      </c>
      <c r="JDQ18" t="s">
        <v>14</v>
      </c>
      <c r="JDR18" s="5">
        <v>43521</v>
      </c>
      <c r="JDS18" s="2" t="s">
        <v>68</v>
      </c>
      <c r="JDT18" s="7"/>
      <c r="JDU18"/>
      <c r="JDV18"/>
      <c r="JDW18" s="10">
        <v>-1.01</v>
      </c>
      <c r="JDX18" s="2" t="s">
        <v>65</v>
      </c>
      <c r="JDY18" t="s">
        <v>14</v>
      </c>
      <c r="JDZ18" s="5">
        <v>43521</v>
      </c>
      <c r="JEA18" s="2" t="s">
        <v>68</v>
      </c>
      <c r="JEB18" s="7"/>
      <c r="JEC18"/>
      <c r="JED18"/>
      <c r="JEE18" s="10">
        <v>-1.01</v>
      </c>
      <c r="JEF18" s="2" t="s">
        <v>65</v>
      </c>
      <c r="JEG18" t="s">
        <v>14</v>
      </c>
      <c r="JEH18" s="5">
        <v>43521</v>
      </c>
      <c r="JEI18" s="2" t="s">
        <v>68</v>
      </c>
      <c r="JEJ18" s="7"/>
      <c r="JEK18"/>
      <c r="JEL18"/>
      <c r="JEM18" s="10">
        <v>-1.01</v>
      </c>
      <c r="JEN18" s="2" t="s">
        <v>65</v>
      </c>
      <c r="JEO18" t="s">
        <v>14</v>
      </c>
      <c r="JEP18" s="5">
        <v>43521</v>
      </c>
      <c r="JEQ18" s="2" t="s">
        <v>68</v>
      </c>
      <c r="JER18" s="7"/>
      <c r="JES18"/>
      <c r="JET18"/>
      <c r="JEU18" s="10">
        <v>-1.01</v>
      </c>
      <c r="JEV18" s="2" t="s">
        <v>65</v>
      </c>
      <c r="JEW18" t="s">
        <v>14</v>
      </c>
      <c r="JEX18" s="5">
        <v>43521</v>
      </c>
      <c r="JEY18" s="2" t="s">
        <v>68</v>
      </c>
      <c r="JEZ18" s="7"/>
      <c r="JFA18"/>
      <c r="JFB18"/>
      <c r="JFC18" s="10">
        <v>-1.01</v>
      </c>
      <c r="JFD18" s="2" t="s">
        <v>65</v>
      </c>
      <c r="JFE18" t="s">
        <v>14</v>
      </c>
      <c r="JFF18" s="5">
        <v>43521</v>
      </c>
      <c r="JFG18" s="2" t="s">
        <v>68</v>
      </c>
      <c r="JFH18" s="7"/>
      <c r="JFI18"/>
      <c r="JFJ18"/>
      <c r="JFK18" s="10">
        <v>-1.01</v>
      </c>
      <c r="JFL18" s="2" t="s">
        <v>65</v>
      </c>
      <c r="JFM18" t="s">
        <v>14</v>
      </c>
      <c r="JFN18" s="5">
        <v>43521</v>
      </c>
      <c r="JFO18" s="2" t="s">
        <v>68</v>
      </c>
      <c r="JFP18" s="7"/>
      <c r="JFQ18"/>
      <c r="JFR18"/>
      <c r="JFS18" s="10">
        <v>-1.01</v>
      </c>
      <c r="JFT18" s="2" t="s">
        <v>65</v>
      </c>
      <c r="JFU18" t="s">
        <v>14</v>
      </c>
      <c r="JFV18" s="5">
        <v>43521</v>
      </c>
      <c r="JFW18" s="2" t="s">
        <v>68</v>
      </c>
      <c r="JFX18" s="7"/>
      <c r="JFY18"/>
      <c r="JFZ18"/>
      <c r="JGA18" s="10">
        <v>-1.01</v>
      </c>
      <c r="JGB18" s="2" t="s">
        <v>65</v>
      </c>
      <c r="JGC18" t="s">
        <v>14</v>
      </c>
      <c r="JGD18" s="5">
        <v>43521</v>
      </c>
      <c r="JGE18" s="2" t="s">
        <v>68</v>
      </c>
      <c r="JGF18" s="7"/>
      <c r="JGG18"/>
      <c r="JGH18"/>
      <c r="JGI18" s="10">
        <v>-1.01</v>
      </c>
      <c r="JGJ18" s="2" t="s">
        <v>65</v>
      </c>
      <c r="JGK18" t="s">
        <v>14</v>
      </c>
      <c r="JGL18" s="5">
        <v>43521</v>
      </c>
      <c r="JGM18" s="2" t="s">
        <v>68</v>
      </c>
      <c r="JGN18" s="7"/>
      <c r="JGO18"/>
      <c r="JGP18"/>
      <c r="JGQ18" s="10">
        <v>-1.01</v>
      </c>
      <c r="JGR18" s="2" t="s">
        <v>65</v>
      </c>
      <c r="JGS18" t="s">
        <v>14</v>
      </c>
      <c r="JGT18" s="5">
        <v>43521</v>
      </c>
      <c r="JGU18" s="2" t="s">
        <v>68</v>
      </c>
      <c r="JGV18" s="7"/>
      <c r="JGW18"/>
      <c r="JGX18"/>
      <c r="JGY18" s="10">
        <v>-1.01</v>
      </c>
      <c r="JGZ18" s="2" t="s">
        <v>65</v>
      </c>
      <c r="JHA18" t="s">
        <v>14</v>
      </c>
      <c r="JHB18" s="5">
        <v>43521</v>
      </c>
      <c r="JHC18" s="2" t="s">
        <v>68</v>
      </c>
      <c r="JHD18" s="7"/>
      <c r="JHE18"/>
      <c r="JHF18"/>
      <c r="JHG18" s="10">
        <v>-1.01</v>
      </c>
      <c r="JHH18" s="2" t="s">
        <v>65</v>
      </c>
      <c r="JHI18" t="s">
        <v>14</v>
      </c>
      <c r="JHJ18" s="5">
        <v>43521</v>
      </c>
      <c r="JHK18" s="2" t="s">
        <v>68</v>
      </c>
      <c r="JHL18" s="7"/>
      <c r="JHM18"/>
      <c r="JHN18"/>
      <c r="JHO18" s="10">
        <v>-1.01</v>
      </c>
      <c r="JHP18" s="2" t="s">
        <v>65</v>
      </c>
      <c r="JHQ18" t="s">
        <v>14</v>
      </c>
      <c r="JHR18" s="5">
        <v>43521</v>
      </c>
      <c r="JHS18" s="2" t="s">
        <v>68</v>
      </c>
      <c r="JHT18" s="7"/>
      <c r="JHU18"/>
      <c r="JHV18"/>
      <c r="JHW18" s="10">
        <v>-1.01</v>
      </c>
      <c r="JHX18" s="2" t="s">
        <v>65</v>
      </c>
      <c r="JHY18" t="s">
        <v>14</v>
      </c>
      <c r="JHZ18" s="5">
        <v>43521</v>
      </c>
      <c r="JIA18" s="2" t="s">
        <v>68</v>
      </c>
      <c r="JIB18" s="7"/>
      <c r="JIC18"/>
      <c r="JID18"/>
      <c r="JIE18" s="10">
        <v>-1.01</v>
      </c>
      <c r="JIF18" s="2" t="s">
        <v>65</v>
      </c>
      <c r="JIG18" t="s">
        <v>14</v>
      </c>
      <c r="JIH18" s="5">
        <v>43521</v>
      </c>
      <c r="JII18" s="2" t="s">
        <v>68</v>
      </c>
      <c r="JIJ18" s="7"/>
      <c r="JIK18"/>
      <c r="JIL18"/>
      <c r="JIM18" s="10">
        <v>-1.01</v>
      </c>
      <c r="JIN18" s="2" t="s">
        <v>65</v>
      </c>
      <c r="JIO18" t="s">
        <v>14</v>
      </c>
      <c r="JIP18" s="5">
        <v>43521</v>
      </c>
      <c r="JIQ18" s="2" t="s">
        <v>68</v>
      </c>
      <c r="JIR18" s="7"/>
      <c r="JIS18"/>
      <c r="JIT18"/>
      <c r="JIU18" s="10">
        <v>-1.01</v>
      </c>
      <c r="JIV18" s="2" t="s">
        <v>65</v>
      </c>
      <c r="JIW18" t="s">
        <v>14</v>
      </c>
      <c r="JIX18" s="5">
        <v>43521</v>
      </c>
      <c r="JIY18" s="2" t="s">
        <v>68</v>
      </c>
      <c r="JIZ18" s="7"/>
      <c r="JJA18"/>
      <c r="JJB18"/>
      <c r="JJC18" s="10">
        <v>-1.01</v>
      </c>
      <c r="JJD18" s="2" t="s">
        <v>65</v>
      </c>
      <c r="JJE18" t="s">
        <v>14</v>
      </c>
      <c r="JJF18" s="5">
        <v>43521</v>
      </c>
      <c r="JJG18" s="2" t="s">
        <v>68</v>
      </c>
      <c r="JJH18" s="7"/>
      <c r="JJI18"/>
      <c r="JJJ18"/>
      <c r="JJK18" s="10">
        <v>-1.01</v>
      </c>
      <c r="JJL18" s="2" t="s">
        <v>65</v>
      </c>
      <c r="JJM18" t="s">
        <v>14</v>
      </c>
      <c r="JJN18" s="5">
        <v>43521</v>
      </c>
      <c r="JJO18" s="2" t="s">
        <v>68</v>
      </c>
      <c r="JJP18" s="7"/>
      <c r="JJQ18"/>
      <c r="JJR18"/>
      <c r="JJS18" s="10">
        <v>-1.01</v>
      </c>
      <c r="JJT18" s="2" t="s">
        <v>65</v>
      </c>
      <c r="JJU18" t="s">
        <v>14</v>
      </c>
      <c r="JJV18" s="5">
        <v>43521</v>
      </c>
      <c r="JJW18" s="2" t="s">
        <v>68</v>
      </c>
      <c r="JJX18" s="7"/>
      <c r="JJY18"/>
      <c r="JJZ18"/>
      <c r="JKA18" s="10">
        <v>-1.01</v>
      </c>
      <c r="JKB18" s="2" t="s">
        <v>65</v>
      </c>
      <c r="JKC18" t="s">
        <v>14</v>
      </c>
      <c r="JKD18" s="5">
        <v>43521</v>
      </c>
      <c r="JKE18" s="2" t="s">
        <v>68</v>
      </c>
      <c r="JKF18" s="7"/>
      <c r="JKG18"/>
      <c r="JKH18"/>
      <c r="JKI18" s="10">
        <v>-1.01</v>
      </c>
      <c r="JKJ18" s="2" t="s">
        <v>65</v>
      </c>
      <c r="JKK18" t="s">
        <v>14</v>
      </c>
      <c r="JKL18" s="5">
        <v>43521</v>
      </c>
      <c r="JKM18" s="2" t="s">
        <v>68</v>
      </c>
      <c r="JKN18" s="7"/>
      <c r="JKO18"/>
      <c r="JKP18"/>
      <c r="JKQ18" s="10">
        <v>-1.01</v>
      </c>
      <c r="JKR18" s="2" t="s">
        <v>65</v>
      </c>
      <c r="JKS18" t="s">
        <v>14</v>
      </c>
      <c r="JKT18" s="5">
        <v>43521</v>
      </c>
      <c r="JKU18" s="2" t="s">
        <v>68</v>
      </c>
      <c r="JKV18" s="7"/>
      <c r="JKW18"/>
      <c r="JKX18"/>
      <c r="JKY18" s="10">
        <v>-1.01</v>
      </c>
      <c r="JKZ18" s="2" t="s">
        <v>65</v>
      </c>
      <c r="JLA18" t="s">
        <v>14</v>
      </c>
      <c r="JLB18" s="5">
        <v>43521</v>
      </c>
      <c r="JLC18" s="2" t="s">
        <v>68</v>
      </c>
      <c r="JLD18" s="7"/>
      <c r="JLE18"/>
      <c r="JLF18"/>
      <c r="JLG18" s="10">
        <v>-1.01</v>
      </c>
      <c r="JLH18" s="2" t="s">
        <v>65</v>
      </c>
      <c r="JLI18" t="s">
        <v>14</v>
      </c>
      <c r="JLJ18" s="5">
        <v>43521</v>
      </c>
      <c r="JLK18" s="2" t="s">
        <v>68</v>
      </c>
      <c r="JLL18" s="7"/>
      <c r="JLM18"/>
      <c r="JLN18"/>
      <c r="JLO18" s="10">
        <v>-1.01</v>
      </c>
      <c r="JLP18" s="2" t="s">
        <v>65</v>
      </c>
      <c r="JLQ18" t="s">
        <v>14</v>
      </c>
      <c r="JLR18" s="5">
        <v>43521</v>
      </c>
      <c r="JLS18" s="2" t="s">
        <v>68</v>
      </c>
      <c r="JLT18" s="7"/>
      <c r="JLU18"/>
      <c r="JLV18"/>
      <c r="JLW18" s="10">
        <v>-1.01</v>
      </c>
      <c r="JLX18" s="2" t="s">
        <v>65</v>
      </c>
      <c r="JLY18" t="s">
        <v>14</v>
      </c>
      <c r="JLZ18" s="5">
        <v>43521</v>
      </c>
      <c r="JMA18" s="2" t="s">
        <v>68</v>
      </c>
      <c r="JMB18" s="7"/>
      <c r="JMC18"/>
      <c r="JMD18"/>
      <c r="JME18" s="10">
        <v>-1.01</v>
      </c>
      <c r="JMF18" s="2" t="s">
        <v>65</v>
      </c>
      <c r="JMG18" t="s">
        <v>14</v>
      </c>
      <c r="JMH18" s="5">
        <v>43521</v>
      </c>
      <c r="JMI18" s="2" t="s">
        <v>68</v>
      </c>
      <c r="JMJ18" s="7"/>
      <c r="JMK18"/>
      <c r="JML18"/>
      <c r="JMM18" s="10">
        <v>-1.01</v>
      </c>
      <c r="JMN18" s="2" t="s">
        <v>65</v>
      </c>
      <c r="JMO18" t="s">
        <v>14</v>
      </c>
      <c r="JMP18" s="5">
        <v>43521</v>
      </c>
      <c r="JMQ18" s="2" t="s">
        <v>68</v>
      </c>
      <c r="JMR18" s="7"/>
      <c r="JMS18"/>
      <c r="JMT18"/>
      <c r="JMU18" s="10">
        <v>-1.01</v>
      </c>
      <c r="JMV18" s="2" t="s">
        <v>65</v>
      </c>
      <c r="JMW18" t="s">
        <v>14</v>
      </c>
      <c r="JMX18" s="5">
        <v>43521</v>
      </c>
      <c r="JMY18" s="2" t="s">
        <v>68</v>
      </c>
      <c r="JMZ18" s="7"/>
      <c r="JNA18"/>
      <c r="JNB18"/>
      <c r="JNC18" s="10">
        <v>-1.01</v>
      </c>
      <c r="JND18" s="2" t="s">
        <v>65</v>
      </c>
      <c r="JNE18" t="s">
        <v>14</v>
      </c>
      <c r="JNF18" s="5">
        <v>43521</v>
      </c>
      <c r="JNG18" s="2" t="s">
        <v>68</v>
      </c>
      <c r="JNH18" s="7"/>
      <c r="JNI18"/>
      <c r="JNJ18"/>
      <c r="JNK18" s="10">
        <v>-1.01</v>
      </c>
      <c r="JNL18" s="2" t="s">
        <v>65</v>
      </c>
      <c r="JNM18" t="s">
        <v>14</v>
      </c>
      <c r="JNN18" s="5">
        <v>43521</v>
      </c>
      <c r="JNO18" s="2" t="s">
        <v>68</v>
      </c>
      <c r="JNP18" s="7"/>
      <c r="JNQ18"/>
      <c r="JNR18"/>
      <c r="JNS18" s="10">
        <v>-1.01</v>
      </c>
      <c r="JNT18" s="2" t="s">
        <v>65</v>
      </c>
      <c r="JNU18" t="s">
        <v>14</v>
      </c>
      <c r="JNV18" s="5">
        <v>43521</v>
      </c>
      <c r="JNW18" s="2" t="s">
        <v>68</v>
      </c>
      <c r="JNX18" s="7"/>
      <c r="JNY18"/>
      <c r="JNZ18"/>
      <c r="JOA18" s="10">
        <v>-1.01</v>
      </c>
      <c r="JOB18" s="2" t="s">
        <v>65</v>
      </c>
      <c r="JOC18" t="s">
        <v>14</v>
      </c>
      <c r="JOD18" s="5">
        <v>43521</v>
      </c>
      <c r="JOE18" s="2" t="s">
        <v>68</v>
      </c>
      <c r="JOF18" s="7"/>
      <c r="JOG18"/>
      <c r="JOH18"/>
      <c r="JOI18" s="10">
        <v>-1.01</v>
      </c>
      <c r="JOJ18" s="2" t="s">
        <v>65</v>
      </c>
      <c r="JOK18" t="s">
        <v>14</v>
      </c>
      <c r="JOL18" s="5">
        <v>43521</v>
      </c>
      <c r="JOM18" s="2" t="s">
        <v>68</v>
      </c>
      <c r="JON18" s="7"/>
      <c r="JOO18"/>
      <c r="JOP18"/>
      <c r="JOQ18" s="10">
        <v>-1.01</v>
      </c>
      <c r="JOR18" s="2" t="s">
        <v>65</v>
      </c>
      <c r="JOS18" t="s">
        <v>14</v>
      </c>
      <c r="JOT18" s="5">
        <v>43521</v>
      </c>
      <c r="JOU18" s="2" t="s">
        <v>68</v>
      </c>
      <c r="JOV18" s="7"/>
      <c r="JOW18"/>
      <c r="JOX18"/>
      <c r="JOY18" s="10">
        <v>-1.01</v>
      </c>
      <c r="JOZ18" s="2" t="s">
        <v>65</v>
      </c>
      <c r="JPA18" t="s">
        <v>14</v>
      </c>
      <c r="JPB18" s="5">
        <v>43521</v>
      </c>
      <c r="JPC18" s="2" t="s">
        <v>68</v>
      </c>
      <c r="JPD18" s="7"/>
      <c r="JPE18"/>
      <c r="JPF18"/>
      <c r="JPG18" s="10">
        <v>-1.01</v>
      </c>
      <c r="JPH18" s="2" t="s">
        <v>65</v>
      </c>
      <c r="JPI18" t="s">
        <v>14</v>
      </c>
      <c r="JPJ18" s="5">
        <v>43521</v>
      </c>
      <c r="JPK18" s="2" t="s">
        <v>68</v>
      </c>
      <c r="JPL18" s="7"/>
      <c r="JPM18"/>
      <c r="JPN18"/>
      <c r="JPO18" s="10">
        <v>-1.01</v>
      </c>
      <c r="JPP18" s="2" t="s">
        <v>65</v>
      </c>
      <c r="JPQ18" t="s">
        <v>14</v>
      </c>
      <c r="JPR18" s="5">
        <v>43521</v>
      </c>
      <c r="JPS18" s="2" t="s">
        <v>68</v>
      </c>
      <c r="JPT18" s="7"/>
      <c r="JPU18"/>
      <c r="JPV18"/>
      <c r="JPW18" s="10">
        <v>-1.01</v>
      </c>
      <c r="JPX18" s="2" t="s">
        <v>65</v>
      </c>
      <c r="JPY18" t="s">
        <v>14</v>
      </c>
      <c r="JPZ18" s="5">
        <v>43521</v>
      </c>
      <c r="JQA18" s="2" t="s">
        <v>68</v>
      </c>
      <c r="JQB18" s="7"/>
      <c r="JQC18"/>
      <c r="JQD18"/>
      <c r="JQE18" s="10">
        <v>-1.01</v>
      </c>
      <c r="JQF18" s="2" t="s">
        <v>65</v>
      </c>
      <c r="JQG18" t="s">
        <v>14</v>
      </c>
      <c r="JQH18" s="5">
        <v>43521</v>
      </c>
      <c r="JQI18" s="2" t="s">
        <v>68</v>
      </c>
      <c r="JQJ18" s="7"/>
      <c r="JQK18"/>
      <c r="JQL18"/>
      <c r="JQM18" s="10">
        <v>-1.01</v>
      </c>
      <c r="JQN18" s="2" t="s">
        <v>65</v>
      </c>
      <c r="JQO18" t="s">
        <v>14</v>
      </c>
      <c r="JQP18" s="5">
        <v>43521</v>
      </c>
      <c r="JQQ18" s="2" t="s">
        <v>68</v>
      </c>
      <c r="JQR18" s="7"/>
      <c r="JQS18"/>
      <c r="JQT18"/>
      <c r="JQU18" s="10">
        <v>-1.01</v>
      </c>
      <c r="JQV18" s="2" t="s">
        <v>65</v>
      </c>
      <c r="JQW18" t="s">
        <v>14</v>
      </c>
      <c r="JQX18" s="5">
        <v>43521</v>
      </c>
      <c r="JQY18" s="2" t="s">
        <v>68</v>
      </c>
      <c r="JQZ18" s="7"/>
      <c r="JRA18"/>
      <c r="JRB18"/>
      <c r="JRC18" s="10">
        <v>-1.01</v>
      </c>
      <c r="JRD18" s="2" t="s">
        <v>65</v>
      </c>
      <c r="JRE18" t="s">
        <v>14</v>
      </c>
      <c r="JRF18" s="5">
        <v>43521</v>
      </c>
      <c r="JRG18" s="2" t="s">
        <v>68</v>
      </c>
      <c r="JRH18" s="7"/>
      <c r="JRI18"/>
      <c r="JRJ18"/>
      <c r="JRK18" s="10">
        <v>-1.01</v>
      </c>
      <c r="JRL18" s="2" t="s">
        <v>65</v>
      </c>
      <c r="JRM18" t="s">
        <v>14</v>
      </c>
      <c r="JRN18" s="5">
        <v>43521</v>
      </c>
      <c r="JRO18" s="2" t="s">
        <v>68</v>
      </c>
      <c r="JRP18" s="7"/>
      <c r="JRQ18"/>
      <c r="JRR18"/>
      <c r="JRS18" s="10">
        <v>-1.01</v>
      </c>
      <c r="JRT18" s="2" t="s">
        <v>65</v>
      </c>
      <c r="JRU18" t="s">
        <v>14</v>
      </c>
      <c r="JRV18" s="5">
        <v>43521</v>
      </c>
      <c r="JRW18" s="2" t="s">
        <v>68</v>
      </c>
      <c r="JRX18" s="7"/>
      <c r="JRY18"/>
      <c r="JRZ18"/>
      <c r="JSA18" s="10">
        <v>-1.01</v>
      </c>
      <c r="JSB18" s="2" t="s">
        <v>65</v>
      </c>
      <c r="JSC18" t="s">
        <v>14</v>
      </c>
      <c r="JSD18" s="5">
        <v>43521</v>
      </c>
      <c r="JSE18" s="2" t="s">
        <v>68</v>
      </c>
      <c r="JSF18" s="7"/>
      <c r="JSG18"/>
      <c r="JSH18"/>
      <c r="JSI18" s="10">
        <v>-1.01</v>
      </c>
      <c r="JSJ18" s="2" t="s">
        <v>65</v>
      </c>
      <c r="JSK18" t="s">
        <v>14</v>
      </c>
      <c r="JSL18" s="5">
        <v>43521</v>
      </c>
      <c r="JSM18" s="2" t="s">
        <v>68</v>
      </c>
      <c r="JSN18" s="7"/>
      <c r="JSO18"/>
      <c r="JSP18"/>
      <c r="JSQ18" s="10">
        <v>-1.01</v>
      </c>
      <c r="JSR18" s="2" t="s">
        <v>65</v>
      </c>
      <c r="JSS18" t="s">
        <v>14</v>
      </c>
      <c r="JST18" s="5">
        <v>43521</v>
      </c>
      <c r="JSU18" s="2" t="s">
        <v>68</v>
      </c>
      <c r="JSV18" s="7"/>
      <c r="JSW18"/>
      <c r="JSX18"/>
      <c r="JSY18" s="10">
        <v>-1.01</v>
      </c>
      <c r="JSZ18" s="2" t="s">
        <v>65</v>
      </c>
      <c r="JTA18" t="s">
        <v>14</v>
      </c>
      <c r="JTB18" s="5">
        <v>43521</v>
      </c>
      <c r="JTC18" s="2" t="s">
        <v>68</v>
      </c>
      <c r="JTD18" s="7"/>
      <c r="JTE18"/>
      <c r="JTF18"/>
      <c r="JTG18" s="10">
        <v>-1.01</v>
      </c>
      <c r="JTH18" s="2" t="s">
        <v>65</v>
      </c>
      <c r="JTI18" t="s">
        <v>14</v>
      </c>
      <c r="JTJ18" s="5">
        <v>43521</v>
      </c>
      <c r="JTK18" s="2" t="s">
        <v>68</v>
      </c>
      <c r="JTL18" s="7"/>
      <c r="JTM18"/>
      <c r="JTN18"/>
      <c r="JTO18" s="10">
        <v>-1.01</v>
      </c>
      <c r="JTP18" s="2" t="s">
        <v>65</v>
      </c>
      <c r="JTQ18" t="s">
        <v>14</v>
      </c>
      <c r="JTR18" s="5">
        <v>43521</v>
      </c>
      <c r="JTS18" s="2" t="s">
        <v>68</v>
      </c>
      <c r="JTT18" s="7"/>
      <c r="JTU18"/>
      <c r="JTV18"/>
      <c r="JTW18" s="10">
        <v>-1.01</v>
      </c>
      <c r="JTX18" s="2" t="s">
        <v>65</v>
      </c>
      <c r="JTY18" t="s">
        <v>14</v>
      </c>
      <c r="JTZ18" s="5">
        <v>43521</v>
      </c>
      <c r="JUA18" s="2" t="s">
        <v>68</v>
      </c>
      <c r="JUB18" s="7"/>
      <c r="JUC18"/>
      <c r="JUD18"/>
      <c r="JUE18" s="10">
        <v>-1.01</v>
      </c>
      <c r="JUF18" s="2" t="s">
        <v>65</v>
      </c>
      <c r="JUG18" t="s">
        <v>14</v>
      </c>
      <c r="JUH18" s="5">
        <v>43521</v>
      </c>
      <c r="JUI18" s="2" t="s">
        <v>68</v>
      </c>
      <c r="JUJ18" s="7"/>
      <c r="JUK18"/>
      <c r="JUL18"/>
      <c r="JUM18" s="10">
        <v>-1.01</v>
      </c>
      <c r="JUN18" s="2" t="s">
        <v>65</v>
      </c>
      <c r="JUO18" t="s">
        <v>14</v>
      </c>
      <c r="JUP18" s="5">
        <v>43521</v>
      </c>
      <c r="JUQ18" s="2" t="s">
        <v>68</v>
      </c>
      <c r="JUR18" s="7"/>
      <c r="JUS18"/>
      <c r="JUT18"/>
      <c r="JUU18" s="10">
        <v>-1.01</v>
      </c>
      <c r="JUV18" s="2" t="s">
        <v>65</v>
      </c>
      <c r="JUW18" t="s">
        <v>14</v>
      </c>
      <c r="JUX18" s="5">
        <v>43521</v>
      </c>
      <c r="JUY18" s="2" t="s">
        <v>68</v>
      </c>
      <c r="JUZ18" s="7"/>
      <c r="JVA18"/>
      <c r="JVB18"/>
      <c r="JVC18" s="10">
        <v>-1.01</v>
      </c>
      <c r="JVD18" s="2" t="s">
        <v>65</v>
      </c>
      <c r="JVE18" t="s">
        <v>14</v>
      </c>
      <c r="JVF18" s="5">
        <v>43521</v>
      </c>
      <c r="JVG18" s="2" t="s">
        <v>68</v>
      </c>
      <c r="JVH18" s="7"/>
      <c r="JVI18"/>
      <c r="JVJ18"/>
      <c r="JVK18" s="10">
        <v>-1.01</v>
      </c>
      <c r="JVL18" s="2" t="s">
        <v>65</v>
      </c>
      <c r="JVM18" t="s">
        <v>14</v>
      </c>
      <c r="JVN18" s="5">
        <v>43521</v>
      </c>
      <c r="JVO18" s="2" t="s">
        <v>68</v>
      </c>
      <c r="JVP18" s="7"/>
      <c r="JVQ18"/>
      <c r="JVR18"/>
      <c r="JVS18" s="10">
        <v>-1.01</v>
      </c>
      <c r="JVT18" s="2" t="s">
        <v>65</v>
      </c>
      <c r="JVU18" t="s">
        <v>14</v>
      </c>
      <c r="JVV18" s="5">
        <v>43521</v>
      </c>
      <c r="JVW18" s="2" t="s">
        <v>68</v>
      </c>
      <c r="JVX18" s="7"/>
      <c r="JVY18"/>
      <c r="JVZ18"/>
      <c r="JWA18" s="10">
        <v>-1.01</v>
      </c>
      <c r="JWB18" s="2" t="s">
        <v>65</v>
      </c>
      <c r="JWC18" t="s">
        <v>14</v>
      </c>
      <c r="JWD18" s="5">
        <v>43521</v>
      </c>
      <c r="JWE18" s="2" t="s">
        <v>68</v>
      </c>
      <c r="JWF18" s="7"/>
      <c r="JWG18"/>
      <c r="JWH18"/>
      <c r="JWI18" s="10">
        <v>-1.01</v>
      </c>
      <c r="JWJ18" s="2" t="s">
        <v>65</v>
      </c>
      <c r="JWK18" t="s">
        <v>14</v>
      </c>
      <c r="JWL18" s="5">
        <v>43521</v>
      </c>
      <c r="JWM18" s="2" t="s">
        <v>68</v>
      </c>
      <c r="JWN18" s="7"/>
      <c r="JWO18"/>
      <c r="JWP18"/>
      <c r="JWQ18" s="10">
        <v>-1.01</v>
      </c>
      <c r="JWR18" s="2" t="s">
        <v>65</v>
      </c>
      <c r="JWS18" t="s">
        <v>14</v>
      </c>
      <c r="JWT18" s="5">
        <v>43521</v>
      </c>
      <c r="JWU18" s="2" t="s">
        <v>68</v>
      </c>
      <c r="JWV18" s="7"/>
      <c r="JWW18"/>
      <c r="JWX18"/>
      <c r="JWY18" s="10">
        <v>-1.01</v>
      </c>
      <c r="JWZ18" s="2" t="s">
        <v>65</v>
      </c>
      <c r="JXA18" t="s">
        <v>14</v>
      </c>
      <c r="JXB18" s="5">
        <v>43521</v>
      </c>
      <c r="JXC18" s="2" t="s">
        <v>68</v>
      </c>
      <c r="JXD18" s="7"/>
      <c r="JXE18"/>
      <c r="JXF18"/>
      <c r="JXG18" s="10">
        <v>-1.01</v>
      </c>
      <c r="JXH18" s="2" t="s">
        <v>65</v>
      </c>
      <c r="JXI18" t="s">
        <v>14</v>
      </c>
      <c r="JXJ18" s="5">
        <v>43521</v>
      </c>
      <c r="JXK18" s="2" t="s">
        <v>68</v>
      </c>
      <c r="JXL18" s="7"/>
      <c r="JXM18"/>
      <c r="JXN18"/>
      <c r="JXO18" s="10">
        <v>-1.01</v>
      </c>
      <c r="JXP18" s="2" t="s">
        <v>65</v>
      </c>
      <c r="JXQ18" t="s">
        <v>14</v>
      </c>
      <c r="JXR18" s="5">
        <v>43521</v>
      </c>
      <c r="JXS18" s="2" t="s">
        <v>68</v>
      </c>
      <c r="JXT18" s="7"/>
      <c r="JXU18"/>
      <c r="JXV18"/>
      <c r="JXW18" s="10">
        <v>-1.01</v>
      </c>
      <c r="JXX18" s="2" t="s">
        <v>65</v>
      </c>
      <c r="JXY18" t="s">
        <v>14</v>
      </c>
      <c r="JXZ18" s="5">
        <v>43521</v>
      </c>
      <c r="JYA18" s="2" t="s">
        <v>68</v>
      </c>
      <c r="JYB18" s="7"/>
      <c r="JYC18"/>
      <c r="JYD18"/>
      <c r="JYE18" s="10">
        <v>-1.01</v>
      </c>
      <c r="JYF18" s="2" t="s">
        <v>65</v>
      </c>
      <c r="JYG18" t="s">
        <v>14</v>
      </c>
      <c r="JYH18" s="5">
        <v>43521</v>
      </c>
      <c r="JYI18" s="2" t="s">
        <v>68</v>
      </c>
      <c r="JYJ18" s="7"/>
      <c r="JYK18"/>
      <c r="JYL18"/>
      <c r="JYM18" s="10">
        <v>-1.01</v>
      </c>
      <c r="JYN18" s="2" t="s">
        <v>65</v>
      </c>
      <c r="JYO18" t="s">
        <v>14</v>
      </c>
      <c r="JYP18" s="5">
        <v>43521</v>
      </c>
      <c r="JYQ18" s="2" t="s">
        <v>68</v>
      </c>
      <c r="JYR18" s="7"/>
      <c r="JYS18"/>
      <c r="JYT18"/>
      <c r="JYU18" s="10">
        <v>-1.01</v>
      </c>
      <c r="JYV18" s="2" t="s">
        <v>65</v>
      </c>
      <c r="JYW18" t="s">
        <v>14</v>
      </c>
      <c r="JYX18" s="5">
        <v>43521</v>
      </c>
      <c r="JYY18" s="2" t="s">
        <v>68</v>
      </c>
      <c r="JYZ18" s="7"/>
      <c r="JZA18"/>
      <c r="JZB18"/>
      <c r="JZC18" s="10">
        <v>-1.01</v>
      </c>
      <c r="JZD18" s="2" t="s">
        <v>65</v>
      </c>
      <c r="JZE18" t="s">
        <v>14</v>
      </c>
      <c r="JZF18" s="5">
        <v>43521</v>
      </c>
      <c r="JZG18" s="2" t="s">
        <v>68</v>
      </c>
      <c r="JZH18" s="7"/>
      <c r="JZI18"/>
      <c r="JZJ18"/>
      <c r="JZK18" s="10">
        <v>-1.01</v>
      </c>
      <c r="JZL18" s="2" t="s">
        <v>65</v>
      </c>
      <c r="JZM18" t="s">
        <v>14</v>
      </c>
      <c r="JZN18" s="5">
        <v>43521</v>
      </c>
      <c r="JZO18" s="2" t="s">
        <v>68</v>
      </c>
      <c r="JZP18" s="7"/>
      <c r="JZQ18"/>
      <c r="JZR18"/>
      <c r="JZS18" s="10">
        <v>-1.01</v>
      </c>
      <c r="JZT18" s="2" t="s">
        <v>65</v>
      </c>
      <c r="JZU18" t="s">
        <v>14</v>
      </c>
      <c r="JZV18" s="5">
        <v>43521</v>
      </c>
      <c r="JZW18" s="2" t="s">
        <v>68</v>
      </c>
      <c r="JZX18" s="7"/>
      <c r="JZY18"/>
      <c r="JZZ18"/>
      <c r="KAA18" s="10">
        <v>-1.01</v>
      </c>
      <c r="KAB18" s="2" t="s">
        <v>65</v>
      </c>
      <c r="KAC18" t="s">
        <v>14</v>
      </c>
      <c r="KAD18" s="5">
        <v>43521</v>
      </c>
      <c r="KAE18" s="2" t="s">
        <v>68</v>
      </c>
      <c r="KAF18" s="7"/>
      <c r="KAG18"/>
      <c r="KAH18"/>
      <c r="KAI18" s="10">
        <v>-1.01</v>
      </c>
      <c r="KAJ18" s="2" t="s">
        <v>65</v>
      </c>
      <c r="KAK18" t="s">
        <v>14</v>
      </c>
      <c r="KAL18" s="5">
        <v>43521</v>
      </c>
      <c r="KAM18" s="2" t="s">
        <v>68</v>
      </c>
      <c r="KAN18" s="7"/>
      <c r="KAO18"/>
      <c r="KAP18"/>
      <c r="KAQ18" s="10">
        <v>-1.01</v>
      </c>
      <c r="KAR18" s="2" t="s">
        <v>65</v>
      </c>
      <c r="KAS18" t="s">
        <v>14</v>
      </c>
      <c r="KAT18" s="5">
        <v>43521</v>
      </c>
      <c r="KAU18" s="2" t="s">
        <v>68</v>
      </c>
      <c r="KAV18" s="7"/>
      <c r="KAW18"/>
      <c r="KAX18"/>
      <c r="KAY18" s="10">
        <v>-1.01</v>
      </c>
      <c r="KAZ18" s="2" t="s">
        <v>65</v>
      </c>
      <c r="KBA18" t="s">
        <v>14</v>
      </c>
      <c r="KBB18" s="5">
        <v>43521</v>
      </c>
      <c r="KBC18" s="2" t="s">
        <v>68</v>
      </c>
      <c r="KBD18" s="7"/>
      <c r="KBE18"/>
      <c r="KBF18"/>
      <c r="KBG18" s="10">
        <v>-1.01</v>
      </c>
      <c r="KBH18" s="2" t="s">
        <v>65</v>
      </c>
      <c r="KBI18" t="s">
        <v>14</v>
      </c>
      <c r="KBJ18" s="5">
        <v>43521</v>
      </c>
      <c r="KBK18" s="2" t="s">
        <v>68</v>
      </c>
      <c r="KBL18" s="7"/>
      <c r="KBM18"/>
      <c r="KBN18"/>
      <c r="KBO18" s="10">
        <v>-1.01</v>
      </c>
      <c r="KBP18" s="2" t="s">
        <v>65</v>
      </c>
      <c r="KBQ18" t="s">
        <v>14</v>
      </c>
      <c r="KBR18" s="5">
        <v>43521</v>
      </c>
      <c r="KBS18" s="2" t="s">
        <v>68</v>
      </c>
      <c r="KBT18" s="7"/>
      <c r="KBU18"/>
      <c r="KBV18"/>
      <c r="KBW18" s="10">
        <v>-1.01</v>
      </c>
      <c r="KBX18" s="2" t="s">
        <v>65</v>
      </c>
      <c r="KBY18" t="s">
        <v>14</v>
      </c>
      <c r="KBZ18" s="5">
        <v>43521</v>
      </c>
      <c r="KCA18" s="2" t="s">
        <v>68</v>
      </c>
      <c r="KCB18" s="7"/>
      <c r="KCC18"/>
      <c r="KCD18"/>
      <c r="KCE18" s="10">
        <v>-1.01</v>
      </c>
      <c r="KCF18" s="2" t="s">
        <v>65</v>
      </c>
      <c r="KCG18" t="s">
        <v>14</v>
      </c>
      <c r="KCH18" s="5">
        <v>43521</v>
      </c>
      <c r="KCI18" s="2" t="s">
        <v>68</v>
      </c>
      <c r="KCJ18" s="7"/>
      <c r="KCK18"/>
      <c r="KCL18"/>
      <c r="KCM18" s="10">
        <v>-1.01</v>
      </c>
      <c r="KCN18" s="2" t="s">
        <v>65</v>
      </c>
      <c r="KCO18" t="s">
        <v>14</v>
      </c>
      <c r="KCP18" s="5">
        <v>43521</v>
      </c>
      <c r="KCQ18" s="2" t="s">
        <v>68</v>
      </c>
      <c r="KCR18" s="7"/>
      <c r="KCS18"/>
      <c r="KCT18"/>
      <c r="KCU18" s="10">
        <v>-1.01</v>
      </c>
      <c r="KCV18" s="2" t="s">
        <v>65</v>
      </c>
      <c r="KCW18" t="s">
        <v>14</v>
      </c>
      <c r="KCX18" s="5">
        <v>43521</v>
      </c>
      <c r="KCY18" s="2" t="s">
        <v>68</v>
      </c>
      <c r="KCZ18" s="7"/>
      <c r="KDA18"/>
      <c r="KDB18"/>
      <c r="KDC18" s="10">
        <v>-1.01</v>
      </c>
      <c r="KDD18" s="2" t="s">
        <v>65</v>
      </c>
      <c r="KDE18" t="s">
        <v>14</v>
      </c>
      <c r="KDF18" s="5">
        <v>43521</v>
      </c>
      <c r="KDG18" s="2" t="s">
        <v>68</v>
      </c>
      <c r="KDH18" s="7"/>
      <c r="KDI18"/>
      <c r="KDJ18"/>
      <c r="KDK18" s="10">
        <v>-1.01</v>
      </c>
      <c r="KDL18" s="2" t="s">
        <v>65</v>
      </c>
      <c r="KDM18" t="s">
        <v>14</v>
      </c>
      <c r="KDN18" s="5">
        <v>43521</v>
      </c>
      <c r="KDO18" s="2" t="s">
        <v>68</v>
      </c>
      <c r="KDP18" s="7"/>
      <c r="KDQ18"/>
      <c r="KDR18"/>
      <c r="KDS18" s="10">
        <v>-1.01</v>
      </c>
      <c r="KDT18" s="2" t="s">
        <v>65</v>
      </c>
      <c r="KDU18" t="s">
        <v>14</v>
      </c>
      <c r="KDV18" s="5">
        <v>43521</v>
      </c>
      <c r="KDW18" s="2" t="s">
        <v>68</v>
      </c>
      <c r="KDX18" s="7"/>
      <c r="KDY18"/>
      <c r="KDZ18"/>
      <c r="KEA18" s="10">
        <v>-1.01</v>
      </c>
      <c r="KEB18" s="2" t="s">
        <v>65</v>
      </c>
      <c r="KEC18" t="s">
        <v>14</v>
      </c>
      <c r="KED18" s="5">
        <v>43521</v>
      </c>
      <c r="KEE18" s="2" t="s">
        <v>68</v>
      </c>
      <c r="KEF18" s="7"/>
      <c r="KEG18"/>
      <c r="KEH18"/>
      <c r="KEI18" s="10">
        <v>-1.01</v>
      </c>
      <c r="KEJ18" s="2" t="s">
        <v>65</v>
      </c>
      <c r="KEK18" t="s">
        <v>14</v>
      </c>
      <c r="KEL18" s="5">
        <v>43521</v>
      </c>
      <c r="KEM18" s="2" t="s">
        <v>68</v>
      </c>
      <c r="KEN18" s="7"/>
      <c r="KEO18"/>
      <c r="KEP18"/>
      <c r="KEQ18" s="10">
        <v>-1.01</v>
      </c>
      <c r="KER18" s="2" t="s">
        <v>65</v>
      </c>
      <c r="KES18" t="s">
        <v>14</v>
      </c>
      <c r="KET18" s="5">
        <v>43521</v>
      </c>
      <c r="KEU18" s="2" t="s">
        <v>68</v>
      </c>
      <c r="KEV18" s="7"/>
      <c r="KEW18"/>
      <c r="KEX18"/>
      <c r="KEY18" s="10">
        <v>-1.01</v>
      </c>
      <c r="KEZ18" s="2" t="s">
        <v>65</v>
      </c>
      <c r="KFA18" t="s">
        <v>14</v>
      </c>
      <c r="KFB18" s="5">
        <v>43521</v>
      </c>
      <c r="KFC18" s="2" t="s">
        <v>68</v>
      </c>
      <c r="KFD18" s="7"/>
      <c r="KFE18"/>
      <c r="KFF18"/>
      <c r="KFG18" s="10">
        <v>-1.01</v>
      </c>
      <c r="KFH18" s="2" t="s">
        <v>65</v>
      </c>
      <c r="KFI18" t="s">
        <v>14</v>
      </c>
      <c r="KFJ18" s="5">
        <v>43521</v>
      </c>
      <c r="KFK18" s="2" t="s">
        <v>68</v>
      </c>
      <c r="KFL18" s="7"/>
      <c r="KFM18"/>
      <c r="KFN18"/>
      <c r="KFO18" s="10">
        <v>-1.01</v>
      </c>
      <c r="KFP18" s="2" t="s">
        <v>65</v>
      </c>
      <c r="KFQ18" t="s">
        <v>14</v>
      </c>
      <c r="KFR18" s="5">
        <v>43521</v>
      </c>
      <c r="KFS18" s="2" t="s">
        <v>68</v>
      </c>
      <c r="KFT18" s="7"/>
      <c r="KFU18"/>
      <c r="KFV18"/>
      <c r="KFW18" s="10">
        <v>-1.01</v>
      </c>
      <c r="KFX18" s="2" t="s">
        <v>65</v>
      </c>
      <c r="KFY18" t="s">
        <v>14</v>
      </c>
      <c r="KFZ18" s="5">
        <v>43521</v>
      </c>
      <c r="KGA18" s="2" t="s">
        <v>68</v>
      </c>
      <c r="KGB18" s="7"/>
      <c r="KGC18"/>
      <c r="KGD18"/>
      <c r="KGE18" s="10">
        <v>-1.01</v>
      </c>
      <c r="KGF18" s="2" t="s">
        <v>65</v>
      </c>
      <c r="KGG18" t="s">
        <v>14</v>
      </c>
      <c r="KGH18" s="5">
        <v>43521</v>
      </c>
      <c r="KGI18" s="2" t="s">
        <v>68</v>
      </c>
      <c r="KGJ18" s="7"/>
      <c r="KGK18"/>
      <c r="KGL18"/>
      <c r="KGM18" s="10">
        <v>-1.01</v>
      </c>
      <c r="KGN18" s="2" t="s">
        <v>65</v>
      </c>
      <c r="KGO18" t="s">
        <v>14</v>
      </c>
      <c r="KGP18" s="5">
        <v>43521</v>
      </c>
      <c r="KGQ18" s="2" t="s">
        <v>68</v>
      </c>
      <c r="KGR18" s="7"/>
      <c r="KGS18"/>
      <c r="KGT18"/>
      <c r="KGU18" s="10">
        <v>-1.01</v>
      </c>
      <c r="KGV18" s="2" t="s">
        <v>65</v>
      </c>
      <c r="KGW18" t="s">
        <v>14</v>
      </c>
      <c r="KGX18" s="5">
        <v>43521</v>
      </c>
      <c r="KGY18" s="2" t="s">
        <v>68</v>
      </c>
      <c r="KGZ18" s="7"/>
      <c r="KHA18"/>
      <c r="KHB18"/>
      <c r="KHC18" s="10">
        <v>-1.01</v>
      </c>
      <c r="KHD18" s="2" t="s">
        <v>65</v>
      </c>
      <c r="KHE18" t="s">
        <v>14</v>
      </c>
      <c r="KHF18" s="5">
        <v>43521</v>
      </c>
      <c r="KHG18" s="2" t="s">
        <v>68</v>
      </c>
      <c r="KHH18" s="7"/>
      <c r="KHI18"/>
      <c r="KHJ18"/>
      <c r="KHK18" s="10">
        <v>-1.01</v>
      </c>
      <c r="KHL18" s="2" t="s">
        <v>65</v>
      </c>
      <c r="KHM18" t="s">
        <v>14</v>
      </c>
      <c r="KHN18" s="5">
        <v>43521</v>
      </c>
      <c r="KHO18" s="2" t="s">
        <v>68</v>
      </c>
      <c r="KHP18" s="7"/>
      <c r="KHQ18"/>
      <c r="KHR18"/>
      <c r="KHS18" s="10">
        <v>-1.01</v>
      </c>
      <c r="KHT18" s="2" t="s">
        <v>65</v>
      </c>
      <c r="KHU18" t="s">
        <v>14</v>
      </c>
      <c r="KHV18" s="5">
        <v>43521</v>
      </c>
      <c r="KHW18" s="2" t="s">
        <v>68</v>
      </c>
      <c r="KHX18" s="7"/>
      <c r="KHY18"/>
      <c r="KHZ18"/>
      <c r="KIA18" s="10">
        <v>-1.01</v>
      </c>
      <c r="KIB18" s="2" t="s">
        <v>65</v>
      </c>
      <c r="KIC18" t="s">
        <v>14</v>
      </c>
      <c r="KID18" s="5">
        <v>43521</v>
      </c>
      <c r="KIE18" s="2" t="s">
        <v>68</v>
      </c>
      <c r="KIF18" s="7"/>
      <c r="KIG18"/>
      <c r="KIH18"/>
      <c r="KII18" s="10">
        <v>-1.01</v>
      </c>
      <c r="KIJ18" s="2" t="s">
        <v>65</v>
      </c>
      <c r="KIK18" t="s">
        <v>14</v>
      </c>
      <c r="KIL18" s="5">
        <v>43521</v>
      </c>
      <c r="KIM18" s="2" t="s">
        <v>68</v>
      </c>
      <c r="KIN18" s="7"/>
      <c r="KIO18"/>
      <c r="KIP18"/>
      <c r="KIQ18" s="10">
        <v>-1.01</v>
      </c>
      <c r="KIR18" s="2" t="s">
        <v>65</v>
      </c>
      <c r="KIS18" t="s">
        <v>14</v>
      </c>
      <c r="KIT18" s="5">
        <v>43521</v>
      </c>
      <c r="KIU18" s="2" t="s">
        <v>68</v>
      </c>
      <c r="KIV18" s="7"/>
      <c r="KIW18"/>
      <c r="KIX18"/>
      <c r="KIY18" s="10">
        <v>-1.01</v>
      </c>
      <c r="KIZ18" s="2" t="s">
        <v>65</v>
      </c>
      <c r="KJA18" t="s">
        <v>14</v>
      </c>
      <c r="KJB18" s="5">
        <v>43521</v>
      </c>
      <c r="KJC18" s="2" t="s">
        <v>68</v>
      </c>
      <c r="KJD18" s="7"/>
      <c r="KJE18"/>
      <c r="KJF18"/>
      <c r="KJG18" s="10">
        <v>-1.01</v>
      </c>
      <c r="KJH18" s="2" t="s">
        <v>65</v>
      </c>
      <c r="KJI18" t="s">
        <v>14</v>
      </c>
      <c r="KJJ18" s="5">
        <v>43521</v>
      </c>
      <c r="KJK18" s="2" t="s">
        <v>68</v>
      </c>
      <c r="KJL18" s="7"/>
      <c r="KJM18"/>
      <c r="KJN18"/>
      <c r="KJO18" s="10">
        <v>-1.01</v>
      </c>
      <c r="KJP18" s="2" t="s">
        <v>65</v>
      </c>
      <c r="KJQ18" t="s">
        <v>14</v>
      </c>
      <c r="KJR18" s="5">
        <v>43521</v>
      </c>
      <c r="KJS18" s="2" t="s">
        <v>68</v>
      </c>
      <c r="KJT18" s="7"/>
      <c r="KJU18"/>
      <c r="KJV18"/>
      <c r="KJW18" s="10">
        <v>-1.01</v>
      </c>
      <c r="KJX18" s="2" t="s">
        <v>65</v>
      </c>
      <c r="KJY18" t="s">
        <v>14</v>
      </c>
      <c r="KJZ18" s="5">
        <v>43521</v>
      </c>
      <c r="KKA18" s="2" t="s">
        <v>68</v>
      </c>
      <c r="KKB18" s="7"/>
      <c r="KKC18"/>
      <c r="KKD18"/>
      <c r="KKE18" s="10">
        <v>-1.01</v>
      </c>
      <c r="KKF18" s="2" t="s">
        <v>65</v>
      </c>
      <c r="KKG18" t="s">
        <v>14</v>
      </c>
      <c r="KKH18" s="5">
        <v>43521</v>
      </c>
      <c r="KKI18" s="2" t="s">
        <v>68</v>
      </c>
      <c r="KKJ18" s="7"/>
      <c r="KKK18"/>
      <c r="KKL18"/>
      <c r="KKM18" s="10">
        <v>-1.01</v>
      </c>
      <c r="KKN18" s="2" t="s">
        <v>65</v>
      </c>
      <c r="KKO18" t="s">
        <v>14</v>
      </c>
      <c r="KKP18" s="5">
        <v>43521</v>
      </c>
      <c r="KKQ18" s="2" t="s">
        <v>68</v>
      </c>
      <c r="KKR18" s="7"/>
      <c r="KKS18"/>
      <c r="KKT18"/>
      <c r="KKU18" s="10">
        <v>-1.01</v>
      </c>
      <c r="KKV18" s="2" t="s">
        <v>65</v>
      </c>
      <c r="KKW18" t="s">
        <v>14</v>
      </c>
      <c r="KKX18" s="5">
        <v>43521</v>
      </c>
      <c r="KKY18" s="2" t="s">
        <v>68</v>
      </c>
      <c r="KKZ18" s="7"/>
      <c r="KLA18"/>
      <c r="KLB18"/>
      <c r="KLC18" s="10">
        <v>-1.01</v>
      </c>
      <c r="KLD18" s="2" t="s">
        <v>65</v>
      </c>
      <c r="KLE18" t="s">
        <v>14</v>
      </c>
      <c r="KLF18" s="5">
        <v>43521</v>
      </c>
      <c r="KLG18" s="2" t="s">
        <v>68</v>
      </c>
      <c r="KLH18" s="7"/>
      <c r="KLI18"/>
      <c r="KLJ18"/>
      <c r="KLK18" s="10">
        <v>-1.01</v>
      </c>
      <c r="KLL18" s="2" t="s">
        <v>65</v>
      </c>
      <c r="KLM18" t="s">
        <v>14</v>
      </c>
      <c r="KLN18" s="5">
        <v>43521</v>
      </c>
      <c r="KLO18" s="2" t="s">
        <v>68</v>
      </c>
      <c r="KLP18" s="7"/>
      <c r="KLQ18"/>
      <c r="KLR18"/>
      <c r="KLS18" s="10">
        <v>-1.01</v>
      </c>
      <c r="KLT18" s="2" t="s">
        <v>65</v>
      </c>
      <c r="KLU18" t="s">
        <v>14</v>
      </c>
      <c r="KLV18" s="5">
        <v>43521</v>
      </c>
      <c r="KLW18" s="2" t="s">
        <v>68</v>
      </c>
      <c r="KLX18" s="7"/>
      <c r="KLY18"/>
      <c r="KLZ18"/>
      <c r="KMA18" s="10">
        <v>-1.01</v>
      </c>
      <c r="KMB18" s="2" t="s">
        <v>65</v>
      </c>
      <c r="KMC18" t="s">
        <v>14</v>
      </c>
      <c r="KMD18" s="5">
        <v>43521</v>
      </c>
      <c r="KME18" s="2" t="s">
        <v>68</v>
      </c>
      <c r="KMF18" s="7"/>
      <c r="KMG18"/>
      <c r="KMH18"/>
      <c r="KMI18" s="10">
        <v>-1.01</v>
      </c>
      <c r="KMJ18" s="2" t="s">
        <v>65</v>
      </c>
      <c r="KMK18" t="s">
        <v>14</v>
      </c>
      <c r="KML18" s="5">
        <v>43521</v>
      </c>
      <c r="KMM18" s="2" t="s">
        <v>68</v>
      </c>
      <c r="KMN18" s="7"/>
      <c r="KMO18"/>
      <c r="KMP18"/>
      <c r="KMQ18" s="10">
        <v>-1.01</v>
      </c>
      <c r="KMR18" s="2" t="s">
        <v>65</v>
      </c>
      <c r="KMS18" t="s">
        <v>14</v>
      </c>
      <c r="KMT18" s="5">
        <v>43521</v>
      </c>
      <c r="KMU18" s="2" t="s">
        <v>68</v>
      </c>
      <c r="KMV18" s="7"/>
      <c r="KMW18"/>
      <c r="KMX18"/>
      <c r="KMY18" s="10">
        <v>-1.01</v>
      </c>
      <c r="KMZ18" s="2" t="s">
        <v>65</v>
      </c>
      <c r="KNA18" t="s">
        <v>14</v>
      </c>
      <c r="KNB18" s="5">
        <v>43521</v>
      </c>
      <c r="KNC18" s="2" t="s">
        <v>68</v>
      </c>
      <c r="KND18" s="7"/>
      <c r="KNE18"/>
      <c r="KNF18"/>
      <c r="KNG18" s="10">
        <v>-1.01</v>
      </c>
      <c r="KNH18" s="2" t="s">
        <v>65</v>
      </c>
      <c r="KNI18" t="s">
        <v>14</v>
      </c>
      <c r="KNJ18" s="5">
        <v>43521</v>
      </c>
      <c r="KNK18" s="2" t="s">
        <v>68</v>
      </c>
      <c r="KNL18" s="7"/>
      <c r="KNM18"/>
      <c r="KNN18"/>
      <c r="KNO18" s="10">
        <v>-1.01</v>
      </c>
      <c r="KNP18" s="2" t="s">
        <v>65</v>
      </c>
      <c r="KNQ18" t="s">
        <v>14</v>
      </c>
      <c r="KNR18" s="5">
        <v>43521</v>
      </c>
      <c r="KNS18" s="2" t="s">
        <v>68</v>
      </c>
      <c r="KNT18" s="7"/>
      <c r="KNU18"/>
      <c r="KNV18"/>
      <c r="KNW18" s="10">
        <v>-1.01</v>
      </c>
      <c r="KNX18" s="2" t="s">
        <v>65</v>
      </c>
      <c r="KNY18" t="s">
        <v>14</v>
      </c>
      <c r="KNZ18" s="5">
        <v>43521</v>
      </c>
      <c r="KOA18" s="2" t="s">
        <v>68</v>
      </c>
      <c r="KOB18" s="7"/>
      <c r="KOC18"/>
      <c r="KOD18"/>
      <c r="KOE18" s="10">
        <v>-1.01</v>
      </c>
      <c r="KOF18" s="2" t="s">
        <v>65</v>
      </c>
      <c r="KOG18" t="s">
        <v>14</v>
      </c>
      <c r="KOH18" s="5">
        <v>43521</v>
      </c>
      <c r="KOI18" s="2" t="s">
        <v>68</v>
      </c>
      <c r="KOJ18" s="7"/>
      <c r="KOK18"/>
      <c r="KOL18"/>
      <c r="KOM18" s="10">
        <v>-1.01</v>
      </c>
      <c r="KON18" s="2" t="s">
        <v>65</v>
      </c>
      <c r="KOO18" t="s">
        <v>14</v>
      </c>
      <c r="KOP18" s="5">
        <v>43521</v>
      </c>
      <c r="KOQ18" s="2" t="s">
        <v>68</v>
      </c>
      <c r="KOR18" s="7"/>
      <c r="KOS18"/>
      <c r="KOT18"/>
      <c r="KOU18" s="10">
        <v>-1.01</v>
      </c>
      <c r="KOV18" s="2" t="s">
        <v>65</v>
      </c>
      <c r="KOW18" t="s">
        <v>14</v>
      </c>
      <c r="KOX18" s="5">
        <v>43521</v>
      </c>
      <c r="KOY18" s="2" t="s">
        <v>68</v>
      </c>
      <c r="KOZ18" s="7"/>
      <c r="KPA18"/>
      <c r="KPB18"/>
      <c r="KPC18" s="10">
        <v>-1.01</v>
      </c>
      <c r="KPD18" s="2" t="s">
        <v>65</v>
      </c>
      <c r="KPE18" t="s">
        <v>14</v>
      </c>
      <c r="KPF18" s="5">
        <v>43521</v>
      </c>
      <c r="KPG18" s="2" t="s">
        <v>68</v>
      </c>
      <c r="KPH18" s="7"/>
      <c r="KPI18"/>
      <c r="KPJ18"/>
      <c r="KPK18" s="10">
        <v>-1.01</v>
      </c>
      <c r="KPL18" s="2" t="s">
        <v>65</v>
      </c>
      <c r="KPM18" t="s">
        <v>14</v>
      </c>
      <c r="KPN18" s="5">
        <v>43521</v>
      </c>
      <c r="KPO18" s="2" t="s">
        <v>68</v>
      </c>
      <c r="KPP18" s="7"/>
      <c r="KPQ18"/>
      <c r="KPR18"/>
      <c r="KPS18" s="10">
        <v>-1.01</v>
      </c>
      <c r="KPT18" s="2" t="s">
        <v>65</v>
      </c>
      <c r="KPU18" t="s">
        <v>14</v>
      </c>
      <c r="KPV18" s="5">
        <v>43521</v>
      </c>
      <c r="KPW18" s="2" t="s">
        <v>68</v>
      </c>
      <c r="KPX18" s="7"/>
      <c r="KPY18"/>
      <c r="KPZ18"/>
      <c r="KQA18" s="10">
        <v>-1.01</v>
      </c>
      <c r="KQB18" s="2" t="s">
        <v>65</v>
      </c>
      <c r="KQC18" t="s">
        <v>14</v>
      </c>
      <c r="KQD18" s="5">
        <v>43521</v>
      </c>
      <c r="KQE18" s="2" t="s">
        <v>68</v>
      </c>
      <c r="KQF18" s="7"/>
      <c r="KQG18"/>
      <c r="KQH18"/>
      <c r="KQI18" s="10">
        <v>-1.01</v>
      </c>
      <c r="KQJ18" s="2" t="s">
        <v>65</v>
      </c>
      <c r="KQK18" t="s">
        <v>14</v>
      </c>
      <c r="KQL18" s="5">
        <v>43521</v>
      </c>
      <c r="KQM18" s="2" t="s">
        <v>68</v>
      </c>
      <c r="KQN18" s="7"/>
      <c r="KQO18"/>
      <c r="KQP18"/>
      <c r="KQQ18" s="10">
        <v>-1.01</v>
      </c>
      <c r="KQR18" s="2" t="s">
        <v>65</v>
      </c>
      <c r="KQS18" t="s">
        <v>14</v>
      </c>
      <c r="KQT18" s="5">
        <v>43521</v>
      </c>
      <c r="KQU18" s="2" t="s">
        <v>68</v>
      </c>
      <c r="KQV18" s="7"/>
      <c r="KQW18"/>
      <c r="KQX18"/>
      <c r="KQY18" s="10">
        <v>-1.01</v>
      </c>
      <c r="KQZ18" s="2" t="s">
        <v>65</v>
      </c>
      <c r="KRA18" t="s">
        <v>14</v>
      </c>
      <c r="KRB18" s="5">
        <v>43521</v>
      </c>
      <c r="KRC18" s="2" t="s">
        <v>68</v>
      </c>
      <c r="KRD18" s="7"/>
      <c r="KRE18"/>
      <c r="KRF18"/>
      <c r="KRG18" s="10">
        <v>-1.01</v>
      </c>
      <c r="KRH18" s="2" t="s">
        <v>65</v>
      </c>
      <c r="KRI18" t="s">
        <v>14</v>
      </c>
      <c r="KRJ18" s="5">
        <v>43521</v>
      </c>
      <c r="KRK18" s="2" t="s">
        <v>68</v>
      </c>
      <c r="KRL18" s="7"/>
      <c r="KRM18"/>
      <c r="KRN18"/>
      <c r="KRO18" s="10">
        <v>-1.01</v>
      </c>
      <c r="KRP18" s="2" t="s">
        <v>65</v>
      </c>
      <c r="KRQ18" t="s">
        <v>14</v>
      </c>
      <c r="KRR18" s="5">
        <v>43521</v>
      </c>
      <c r="KRS18" s="2" t="s">
        <v>68</v>
      </c>
      <c r="KRT18" s="7"/>
      <c r="KRU18"/>
      <c r="KRV18"/>
      <c r="KRW18" s="10">
        <v>-1.01</v>
      </c>
      <c r="KRX18" s="2" t="s">
        <v>65</v>
      </c>
      <c r="KRY18" t="s">
        <v>14</v>
      </c>
      <c r="KRZ18" s="5">
        <v>43521</v>
      </c>
      <c r="KSA18" s="2" t="s">
        <v>68</v>
      </c>
      <c r="KSB18" s="7"/>
      <c r="KSC18"/>
      <c r="KSD18"/>
      <c r="KSE18" s="10">
        <v>-1.01</v>
      </c>
      <c r="KSF18" s="2" t="s">
        <v>65</v>
      </c>
      <c r="KSG18" t="s">
        <v>14</v>
      </c>
      <c r="KSH18" s="5">
        <v>43521</v>
      </c>
      <c r="KSI18" s="2" t="s">
        <v>68</v>
      </c>
      <c r="KSJ18" s="7"/>
      <c r="KSK18"/>
      <c r="KSL18"/>
      <c r="KSM18" s="10">
        <v>-1.01</v>
      </c>
      <c r="KSN18" s="2" t="s">
        <v>65</v>
      </c>
      <c r="KSO18" t="s">
        <v>14</v>
      </c>
      <c r="KSP18" s="5">
        <v>43521</v>
      </c>
      <c r="KSQ18" s="2" t="s">
        <v>68</v>
      </c>
      <c r="KSR18" s="7"/>
      <c r="KSS18"/>
      <c r="KST18"/>
      <c r="KSU18" s="10">
        <v>-1.01</v>
      </c>
      <c r="KSV18" s="2" t="s">
        <v>65</v>
      </c>
      <c r="KSW18" t="s">
        <v>14</v>
      </c>
      <c r="KSX18" s="5">
        <v>43521</v>
      </c>
      <c r="KSY18" s="2" t="s">
        <v>68</v>
      </c>
      <c r="KSZ18" s="7"/>
      <c r="KTA18"/>
      <c r="KTB18"/>
      <c r="KTC18" s="10">
        <v>-1.01</v>
      </c>
      <c r="KTD18" s="2" t="s">
        <v>65</v>
      </c>
      <c r="KTE18" t="s">
        <v>14</v>
      </c>
      <c r="KTF18" s="5">
        <v>43521</v>
      </c>
      <c r="KTG18" s="2" t="s">
        <v>68</v>
      </c>
      <c r="KTH18" s="7"/>
      <c r="KTI18"/>
      <c r="KTJ18"/>
      <c r="KTK18" s="10">
        <v>-1.01</v>
      </c>
      <c r="KTL18" s="2" t="s">
        <v>65</v>
      </c>
      <c r="KTM18" t="s">
        <v>14</v>
      </c>
      <c r="KTN18" s="5">
        <v>43521</v>
      </c>
      <c r="KTO18" s="2" t="s">
        <v>68</v>
      </c>
      <c r="KTP18" s="7"/>
      <c r="KTQ18"/>
      <c r="KTR18"/>
      <c r="KTS18" s="10">
        <v>-1.01</v>
      </c>
      <c r="KTT18" s="2" t="s">
        <v>65</v>
      </c>
      <c r="KTU18" t="s">
        <v>14</v>
      </c>
      <c r="KTV18" s="5">
        <v>43521</v>
      </c>
      <c r="KTW18" s="2" t="s">
        <v>68</v>
      </c>
      <c r="KTX18" s="7"/>
      <c r="KTY18"/>
      <c r="KTZ18"/>
      <c r="KUA18" s="10">
        <v>-1.01</v>
      </c>
      <c r="KUB18" s="2" t="s">
        <v>65</v>
      </c>
      <c r="KUC18" t="s">
        <v>14</v>
      </c>
      <c r="KUD18" s="5">
        <v>43521</v>
      </c>
      <c r="KUE18" s="2" t="s">
        <v>68</v>
      </c>
      <c r="KUF18" s="7"/>
      <c r="KUG18"/>
      <c r="KUH18"/>
      <c r="KUI18" s="10">
        <v>-1.01</v>
      </c>
      <c r="KUJ18" s="2" t="s">
        <v>65</v>
      </c>
      <c r="KUK18" t="s">
        <v>14</v>
      </c>
      <c r="KUL18" s="5">
        <v>43521</v>
      </c>
      <c r="KUM18" s="2" t="s">
        <v>68</v>
      </c>
      <c r="KUN18" s="7"/>
      <c r="KUO18"/>
      <c r="KUP18"/>
      <c r="KUQ18" s="10">
        <v>-1.01</v>
      </c>
      <c r="KUR18" s="2" t="s">
        <v>65</v>
      </c>
      <c r="KUS18" t="s">
        <v>14</v>
      </c>
      <c r="KUT18" s="5">
        <v>43521</v>
      </c>
      <c r="KUU18" s="2" t="s">
        <v>68</v>
      </c>
      <c r="KUV18" s="7"/>
      <c r="KUW18"/>
      <c r="KUX18"/>
      <c r="KUY18" s="10">
        <v>-1.01</v>
      </c>
      <c r="KUZ18" s="2" t="s">
        <v>65</v>
      </c>
      <c r="KVA18" t="s">
        <v>14</v>
      </c>
      <c r="KVB18" s="5">
        <v>43521</v>
      </c>
      <c r="KVC18" s="2" t="s">
        <v>68</v>
      </c>
      <c r="KVD18" s="7"/>
      <c r="KVE18"/>
      <c r="KVF18"/>
      <c r="KVG18" s="10">
        <v>-1.01</v>
      </c>
      <c r="KVH18" s="2" t="s">
        <v>65</v>
      </c>
      <c r="KVI18" t="s">
        <v>14</v>
      </c>
      <c r="KVJ18" s="5">
        <v>43521</v>
      </c>
      <c r="KVK18" s="2" t="s">
        <v>68</v>
      </c>
      <c r="KVL18" s="7"/>
      <c r="KVM18"/>
      <c r="KVN18"/>
      <c r="KVO18" s="10">
        <v>-1.01</v>
      </c>
      <c r="KVP18" s="2" t="s">
        <v>65</v>
      </c>
      <c r="KVQ18" t="s">
        <v>14</v>
      </c>
      <c r="KVR18" s="5">
        <v>43521</v>
      </c>
      <c r="KVS18" s="2" t="s">
        <v>68</v>
      </c>
      <c r="KVT18" s="7"/>
      <c r="KVU18"/>
      <c r="KVV18"/>
      <c r="KVW18" s="10">
        <v>-1.01</v>
      </c>
      <c r="KVX18" s="2" t="s">
        <v>65</v>
      </c>
      <c r="KVY18" t="s">
        <v>14</v>
      </c>
      <c r="KVZ18" s="5">
        <v>43521</v>
      </c>
      <c r="KWA18" s="2" t="s">
        <v>68</v>
      </c>
      <c r="KWB18" s="7"/>
      <c r="KWC18"/>
      <c r="KWD18"/>
      <c r="KWE18" s="10">
        <v>-1.01</v>
      </c>
      <c r="KWF18" s="2" t="s">
        <v>65</v>
      </c>
      <c r="KWG18" t="s">
        <v>14</v>
      </c>
      <c r="KWH18" s="5">
        <v>43521</v>
      </c>
      <c r="KWI18" s="2" t="s">
        <v>68</v>
      </c>
      <c r="KWJ18" s="7"/>
      <c r="KWK18"/>
      <c r="KWL18"/>
      <c r="KWM18" s="10">
        <v>-1.01</v>
      </c>
      <c r="KWN18" s="2" t="s">
        <v>65</v>
      </c>
      <c r="KWO18" t="s">
        <v>14</v>
      </c>
      <c r="KWP18" s="5">
        <v>43521</v>
      </c>
      <c r="KWQ18" s="2" t="s">
        <v>68</v>
      </c>
      <c r="KWR18" s="7"/>
      <c r="KWS18"/>
      <c r="KWT18"/>
      <c r="KWU18" s="10">
        <v>-1.01</v>
      </c>
      <c r="KWV18" s="2" t="s">
        <v>65</v>
      </c>
      <c r="KWW18" t="s">
        <v>14</v>
      </c>
      <c r="KWX18" s="5">
        <v>43521</v>
      </c>
      <c r="KWY18" s="2" t="s">
        <v>68</v>
      </c>
      <c r="KWZ18" s="7"/>
      <c r="KXA18"/>
      <c r="KXB18"/>
      <c r="KXC18" s="10">
        <v>-1.01</v>
      </c>
      <c r="KXD18" s="2" t="s">
        <v>65</v>
      </c>
      <c r="KXE18" t="s">
        <v>14</v>
      </c>
      <c r="KXF18" s="5">
        <v>43521</v>
      </c>
      <c r="KXG18" s="2" t="s">
        <v>68</v>
      </c>
      <c r="KXH18" s="7"/>
      <c r="KXI18"/>
      <c r="KXJ18"/>
      <c r="KXK18" s="10">
        <v>-1.01</v>
      </c>
      <c r="KXL18" s="2" t="s">
        <v>65</v>
      </c>
      <c r="KXM18" t="s">
        <v>14</v>
      </c>
      <c r="KXN18" s="5">
        <v>43521</v>
      </c>
      <c r="KXO18" s="2" t="s">
        <v>68</v>
      </c>
      <c r="KXP18" s="7"/>
      <c r="KXQ18"/>
      <c r="KXR18"/>
      <c r="KXS18" s="10">
        <v>-1.01</v>
      </c>
      <c r="KXT18" s="2" t="s">
        <v>65</v>
      </c>
      <c r="KXU18" t="s">
        <v>14</v>
      </c>
      <c r="KXV18" s="5">
        <v>43521</v>
      </c>
      <c r="KXW18" s="2" t="s">
        <v>68</v>
      </c>
      <c r="KXX18" s="7"/>
      <c r="KXY18"/>
      <c r="KXZ18"/>
      <c r="KYA18" s="10">
        <v>-1.01</v>
      </c>
      <c r="KYB18" s="2" t="s">
        <v>65</v>
      </c>
      <c r="KYC18" t="s">
        <v>14</v>
      </c>
      <c r="KYD18" s="5">
        <v>43521</v>
      </c>
      <c r="KYE18" s="2" t="s">
        <v>68</v>
      </c>
      <c r="KYF18" s="7"/>
      <c r="KYG18"/>
      <c r="KYH18"/>
      <c r="KYI18" s="10">
        <v>-1.01</v>
      </c>
      <c r="KYJ18" s="2" t="s">
        <v>65</v>
      </c>
      <c r="KYK18" t="s">
        <v>14</v>
      </c>
      <c r="KYL18" s="5">
        <v>43521</v>
      </c>
      <c r="KYM18" s="2" t="s">
        <v>68</v>
      </c>
      <c r="KYN18" s="7"/>
      <c r="KYO18"/>
      <c r="KYP18"/>
      <c r="KYQ18" s="10">
        <v>-1.01</v>
      </c>
      <c r="KYR18" s="2" t="s">
        <v>65</v>
      </c>
      <c r="KYS18" t="s">
        <v>14</v>
      </c>
      <c r="KYT18" s="5">
        <v>43521</v>
      </c>
      <c r="KYU18" s="2" t="s">
        <v>68</v>
      </c>
      <c r="KYV18" s="7"/>
      <c r="KYW18"/>
      <c r="KYX18"/>
      <c r="KYY18" s="10">
        <v>-1.01</v>
      </c>
      <c r="KYZ18" s="2" t="s">
        <v>65</v>
      </c>
      <c r="KZA18" t="s">
        <v>14</v>
      </c>
      <c r="KZB18" s="5">
        <v>43521</v>
      </c>
      <c r="KZC18" s="2" t="s">
        <v>68</v>
      </c>
      <c r="KZD18" s="7"/>
      <c r="KZE18"/>
      <c r="KZF18"/>
      <c r="KZG18" s="10">
        <v>-1.01</v>
      </c>
      <c r="KZH18" s="2" t="s">
        <v>65</v>
      </c>
      <c r="KZI18" t="s">
        <v>14</v>
      </c>
      <c r="KZJ18" s="5">
        <v>43521</v>
      </c>
      <c r="KZK18" s="2" t="s">
        <v>68</v>
      </c>
      <c r="KZL18" s="7"/>
      <c r="KZM18"/>
      <c r="KZN18"/>
      <c r="KZO18" s="10">
        <v>-1.01</v>
      </c>
      <c r="KZP18" s="2" t="s">
        <v>65</v>
      </c>
      <c r="KZQ18" t="s">
        <v>14</v>
      </c>
      <c r="KZR18" s="5">
        <v>43521</v>
      </c>
      <c r="KZS18" s="2" t="s">
        <v>68</v>
      </c>
      <c r="KZT18" s="7"/>
      <c r="KZU18"/>
      <c r="KZV18"/>
      <c r="KZW18" s="10">
        <v>-1.01</v>
      </c>
      <c r="KZX18" s="2" t="s">
        <v>65</v>
      </c>
      <c r="KZY18" t="s">
        <v>14</v>
      </c>
      <c r="KZZ18" s="5">
        <v>43521</v>
      </c>
      <c r="LAA18" s="2" t="s">
        <v>68</v>
      </c>
      <c r="LAB18" s="7"/>
      <c r="LAC18"/>
      <c r="LAD18"/>
      <c r="LAE18" s="10">
        <v>-1.01</v>
      </c>
      <c r="LAF18" s="2" t="s">
        <v>65</v>
      </c>
      <c r="LAG18" t="s">
        <v>14</v>
      </c>
      <c r="LAH18" s="5">
        <v>43521</v>
      </c>
      <c r="LAI18" s="2" t="s">
        <v>68</v>
      </c>
      <c r="LAJ18" s="7"/>
      <c r="LAK18"/>
      <c r="LAL18"/>
      <c r="LAM18" s="10">
        <v>-1.01</v>
      </c>
      <c r="LAN18" s="2" t="s">
        <v>65</v>
      </c>
      <c r="LAO18" t="s">
        <v>14</v>
      </c>
      <c r="LAP18" s="5">
        <v>43521</v>
      </c>
      <c r="LAQ18" s="2" t="s">
        <v>68</v>
      </c>
      <c r="LAR18" s="7"/>
      <c r="LAS18"/>
      <c r="LAT18"/>
      <c r="LAU18" s="10">
        <v>-1.01</v>
      </c>
      <c r="LAV18" s="2" t="s">
        <v>65</v>
      </c>
      <c r="LAW18" t="s">
        <v>14</v>
      </c>
      <c r="LAX18" s="5">
        <v>43521</v>
      </c>
      <c r="LAY18" s="2" t="s">
        <v>68</v>
      </c>
      <c r="LAZ18" s="7"/>
      <c r="LBA18"/>
      <c r="LBB18"/>
      <c r="LBC18" s="10">
        <v>-1.01</v>
      </c>
      <c r="LBD18" s="2" t="s">
        <v>65</v>
      </c>
      <c r="LBE18" t="s">
        <v>14</v>
      </c>
      <c r="LBF18" s="5">
        <v>43521</v>
      </c>
      <c r="LBG18" s="2" t="s">
        <v>68</v>
      </c>
      <c r="LBH18" s="7"/>
      <c r="LBI18"/>
      <c r="LBJ18"/>
      <c r="LBK18" s="10">
        <v>-1.01</v>
      </c>
      <c r="LBL18" s="2" t="s">
        <v>65</v>
      </c>
      <c r="LBM18" t="s">
        <v>14</v>
      </c>
      <c r="LBN18" s="5">
        <v>43521</v>
      </c>
      <c r="LBO18" s="2" t="s">
        <v>68</v>
      </c>
      <c r="LBP18" s="7"/>
      <c r="LBQ18"/>
      <c r="LBR18"/>
      <c r="LBS18" s="10">
        <v>-1.01</v>
      </c>
      <c r="LBT18" s="2" t="s">
        <v>65</v>
      </c>
      <c r="LBU18" t="s">
        <v>14</v>
      </c>
      <c r="LBV18" s="5">
        <v>43521</v>
      </c>
      <c r="LBW18" s="2" t="s">
        <v>68</v>
      </c>
      <c r="LBX18" s="7"/>
      <c r="LBY18"/>
      <c r="LBZ18"/>
      <c r="LCA18" s="10">
        <v>-1.01</v>
      </c>
      <c r="LCB18" s="2" t="s">
        <v>65</v>
      </c>
      <c r="LCC18" t="s">
        <v>14</v>
      </c>
      <c r="LCD18" s="5">
        <v>43521</v>
      </c>
      <c r="LCE18" s="2" t="s">
        <v>68</v>
      </c>
      <c r="LCF18" s="7"/>
      <c r="LCG18"/>
      <c r="LCH18"/>
      <c r="LCI18" s="10">
        <v>-1.01</v>
      </c>
      <c r="LCJ18" s="2" t="s">
        <v>65</v>
      </c>
      <c r="LCK18" t="s">
        <v>14</v>
      </c>
      <c r="LCL18" s="5">
        <v>43521</v>
      </c>
      <c r="LCM18" s="2" t="s">
        <v>68</v>
      </c>
      <c r="LCN18" s="7"/>
      <c r="LCO18"/>
      <c r="LCP18"/>
      <c r="LCQ18" s="10">
        <v>-1.01</v>
      </c>
      <c r="LCR18" s="2" t="s">
        <v>65</v>
      </c>
      <c r="LCS18" t="s">
        <v>14</v>
      </c>
      <c r="LCT18" s="5">
        <v>43521</v>
      </c>
      <c r="LCU18" s="2" t="s">
        <v>68</v>
      </c>
      <c r="LCV18" s="7"/>
      <c r="LCW18"/>
      <c r="LCX18"/>
      <c r="LCY18" s="10">
        <v>-1.01</v>
      </c>
      <c r="LCZ18" s="2" t="s">
        <v>65</v>
      </c>
      <c r="LDA18" t="s">
        <v>14</v>
      </c>
      <c r="LDB18" s="5">
        <v>43521</v>
      </c>
      <c r="LDC18" s="2" t="s">
        <v>68</v>
      </c>
      <c r="LDD18" s="7"/>
      <c r="LDE18"/>
      <c r="LDF18"/>
      <c r="LDG18" s="10">
        <v>-1.01</v>
      </c>
      <c r="LDH18" s="2" t="s">
        <v>65</v>
      </c>
      <c r="LDI18" t="s">
        <v>14</v>
      </c>
      <c r="LDJ18" s="5">
        <v>43521</v>
      </c>
      <c r="LDK18" s="2" t="s">
        <v>68</v>
      </c>
      <c r="LDL18" s="7"/>
      <c r="LDM18"/>
      <c r="LDN18"/>
      <c r="LDO18" s="10">
        <v>-1.01</v>
      </c>
      <c r="LDP18" s="2" t="s">
        <v>65</v>
      </c>
      <c r="LDQ18" t="s">
        <v>14</v>
      </c>
      <c r="LDR18" s="5">
        <v>43521</v>
      </c>
      <c r="LDS18" s="2" t="s">
        <v>68</v>
      </c>
      <c r="LDT18" s="7"/>
      <c r="LDU18"/>
      <c r="LDV18"/>
      <c r="LDW18" s="10">
        <v>-1.01</v>
      </c>
      <c r="LDX18" s="2" t="s">
        <v>65</v>
      </c>
      <c r="LDY18" t="s">
        <v>14</v>
      </c>
      <c r="LDZ18" s="5">
        <v>43521</v>
      </c>
      <c r="LEA18" s="2" t="s">
        <v>68</v>
      </c>
      <c r="LEB18" s="7"/>
      <c r="LEC18"/>
      <c r="LED18"/>
      <c r="LEE18" s="10">
        <v>-1.01</v>
      </c>
      <c r="LEF18" s="2" t="s">
        <v>65</v>
      </c>
      <c r="LEG18" t="s">
        <v>14</v>
      </c>
      <c r="LEH18" s="5">
        <v>43521</v>
      </c>
      <c r="LEI18" s="2" t="s">
        <v>68</v>
      </c>
      <c r="LEJ18" s="7"/>
      <c r="LEK18"/>
      <c r="LEL18"/>
      <c r="LEM18" s="10">
        <v>-1.01</v>
      </c>
      <c r="LEN18" s="2" t="s">
        <v>65</v>
      </c>
      <c r="LEO18" t="s">
        <v>14</v>
      </c>
      <c r="LEP18" s="5">
        <v>43521</v>
      </c>
      <c r="LEQ18" s="2" t="s">
        <v>68</v>
      </c>
      <c r="LER18" s="7"/>
      <c r="LES18"/>
      <c r="LET18"/>
      <c r="LEU18" s="10">
        <v>-1.01</v>
      </c>
      <c r="LEV18" s="2" t="s">
        <v>65</v>
      </c>
      <c r="LEW18" t="s">
        <v>14</v>
      </c>
      <c r="LEX18" s="5">
        <v>43521</v>
      </c>
      <c r="LEY18" s="2" t="s">
        <v>68</v>
      </c>
      <c r="LEZ18" s="7"/>
      <c r="LFA18"/>
      <c r="LFB18"/>
      <c r="LFC18" s="10">
        <v>-1.01</v>
      </c>
      <c r="LFD18" s="2" t="s">
        <v>65</v>
      </c>
      <c r="LFE18" t="s">
        <v>14</v>
      </c>
      <c r="LFF18" s="5">
        <v>43521</v>
      </c>
      <c r="LFG18" s="2" t="s">
        <v>68</v>
      </c>
      <c r="LFH18" s="7"/>
      <c r="LFI18"/>
      <c r="LFJ18"/>
      <c r="LFK18" s="10">
        <v>-1.01</v>
      </c>
      <c r="LFL18" s="2" t="s">
        <v>65</v>
      </c>
      <c r="LFM18" t="s">
        <v>14</v>
      </c>
      <c r="LFN18" s="5">
        <v>43521</v>
      </c>
      <c r="LFO18" s="2" t="s">
        <v>68</v>
      </c>
      <c r="LFP18" s="7"/>
      <c r="LFQ18"/>
      <c r="LFR18"/>
      <c r="LFS18" s="10">
        <v>-1.01</v>
      </c>
      <c r="LFT18" s="2" t="s">
        <v>65</v>
      </c>
      <c r="LFU18" t="s">
        <v>14</v>
      </c>
      <c r="LFV18" s="5">
        <v>43521</v>
      </c>
      <c r="LFW18" s="2" t="s">
        <v>68</v>
      </c>
      <c r="LFX18" s="7"/>
      <c r="LFY18"/>
      <c r="LFZ18"/>
      <c r="LGA18" s="10">
        <v>-1.01</v>
      </c>
      <c r="LGB18" s="2" t="s">
        <v>65</v>
      </c>
      <c r="LGC18" t="s">
        <v>14</v>
      </c>
      <c r="LGD18" s="5">
        <v>43521</v>
      </c>
      <c r="LGE18" s="2" t="s">
        <v>68</v>
      </c>
      <c r="LGF18" s="7"/>
      <c r="LGG18"/>
      <c r="LGH18"/>
      <c r="LGI18" s="10">
        <v>-1.01</v>
      </c>
      <c r="LGJ18" s="2" t="s">
        <v>65</v>
      </c>
      <c r="LGK18" t="s">
        <v>14</v>
      </c>
      <c r="LGL18" s="5">
        <v>43521</v>
      </c>
      <c r="LGM18" s="2" t="s">
        <v>68</v>
      </c>
      <c r="LGN18" s="7"/>
      <c r="LGO18"/>
      <c r="LGP18"/>
      <c r="LGQ18" s="10">
        <v>-1.01</v>
      </c>
      <c r="LGR18" s="2" t="s">
        <v>65</v>
      </c>
      <c r="LGS18" t="s">
        <v>14</v>
      </c>
      <c r="LGT18" s="5">
        <v>43521</v>
      </c>
      <c r="LGU18" s="2" t="s">
        <v>68</v>
      </c>
      <c r="LGV18" s="7"/>
      <c r="LGW18"/>
      <c r="LGX18"/>
      <c r="LGY18" s="10">
        <v>-1.01</v>
      </c>
      <c r="LGZ18" s="2" t="s">
        <v>65</v>
      </c>
      <c r="LHA18" t="s">
        <v>14</v>
      </c>
      <c r="LHB18" s="5">
        <v>43521</v>
      </c>
      <c r="LHC18" s="2" t="s">
        <v>68</v>
      </c>
      <c r="LHD18" s="7"/>
      <c r="LHE18"/>
      <c r="LHF18"/>
      <c r="LHG18" s="10">
        <v>-1.01</v>
      </c>
      <c r="LHH18" s="2" t="s">
        <v>65</v>
      </c>
      <c r="LHI18" t="s">
        <v>14</v>
      </c>
      <c r="LHJ18" s="5">
        <v>43521</v>
      </c>
      <c r="LHK18" s="2" t="s">
        <v>68</v>
      </c>
      <c r="LHL18" s="7"/>
      <c r="LHM18"/>
      <c r="LHN18"/>
      <c r="LHO18" s="10">
        <v>-1.01</v>
      </c>
      <c r="LHP18" s="2" t="s">
        <v>65</v>
      </c>
      <c r="LHQ18" t="s">
        <v>14</v>
      </c>
      <c r="LHR18" s="5">
        <v>43521</v>
      </c>
      <c r="LHS18" s="2" t="s">
        <v>68</v>
      </c>
      <c r="LHT18" s="7"/>
      <c r="LHU18"/>
      <c r="LHV18"/>
      <c r="LHW18" s="10">
        <v>-1.01</v>
      </c>
      <c r="LHX18" s="2" t="s">
        <v>65</v>
      </c>
      <c r="LHY18" t="s">
        <v>14</v>
      </c>
      <c r="LHZ18" s="5">
        <v>43521</v>
      </c>
      <c r="LIA18" s="2" t="s">
        <v>68</v>
      </c>
      <c r="LIB18" s="7"/>
      <c r="LIC18"/>
      <c r="LID18"/>
      <c r="LIE18" s="10">
        <v>-1.01</v>
      </c>
      <c r="LIF18" s="2" t="s">
        <v>65</v>
      </c>
      <c r="LIG18" t="s">
        <v>14</v>
      </c>
      <c r="LIH18" s="5">
        <v>43521</v>
      </c>
      <c r="LII18" s="2" t="s">
        <v>68</v>
      </c>
      <c r="LIJ18" s="7"/>
      <c r="LIK18"/>
      <c r="LIL18"/>
      <c r="LIM18" s="10">
        <v>-1.01</v>
      </c>
      <c r="LIN18" s="2" t="s">
        <v>65</v>
      </c>
      <c r="LIO18" t="s">
        <v>14</v>
      </c>
      <c r="LIP18" s="5">
        <v>43521</v>
      </c>
      <c r="LIQ18" s="2" t="s">
        <v>68</v>
      </c>
      <c r="LIR18" s="7"/>
      <c r="LIS18"/>
      <c r="LIT18"/>
      <c r="LIU18" s="10">
        <v>-1.01</v>
      </c>
      <c r="LIV18" s="2" t="s">
        <v>65</v>
      </c>
      <c r="LIW18" t="s">
        <v>14</v>
      </c>
      <c r="LIX18" s="5">
        <v>43521</v>
      </c>
      <c r="LIY18" s="2" t="s">
        <v>68</v>
      </c>
      <c r="LIZ18" s="7"/>
      <c r="LJA18"/>
      <c r="LJB18"/>
      <c r="LJC18" s="10">
        <v>-1.01</v>
      </c>
      <c r="LJD18" s="2" t="s">
        <v>65</v>
      </c>
      <c r="LJE18" t="s">
        <v>14</v>
      </c>
      <c r="LJF18" s="5">
        <v>43521</v>
      </c>
      <c r="LJG18" s="2" t="s">
        <v>68</v>
      </c>
      <c r="LJH18" s="7"/>
      <c r="LJI18"/>
      <c r="LJJ18"/>
      <c r="LJK18" s="10">
        <v>-1.01</v>
      </c>
      <c r="LJL18" s="2" t="s">
        <v>65</v>
      </c>
      <c r="LJM18" t="s">
        <v>14</v>
      </c>
      <c r="LJN18" s="5">
        <v>43521</v>
      </c>
      <c r="LJO18" s="2" t="s">
        <v>68</v>
      </c>
      <c r="LJP18" s="7"/>
      <c r="LJQ18"/>
      <c r="LJR18"/>
      <c r="LJS18" s="10">
        <v>-1.01</v>
      </c>
      <c r="LJT18" s="2" t="s">
        <v>65</v>
      </c>
      <c r="LJU18" t="s">
        <v>14</v>
      </c>
      <c r="LJV18" s="5">
        <v>43521</v>
      </c>
      <c r="LJW18" s="2" t="s">
        <v>68</v>
      </c>
      <c r="LJX18" s="7"/>
      <c r="LJY18"/>
      <c r="LJZ18"/>
      <c r="LKA18" s="10">
        <v>-1.01</v>
      </c>
      <c r="LKB18" s="2" t="s">
        <v>65</v>
      </c>
      <c r="LKC18" t="s">
        <v>14</v>
      </c>
      <c r="LKD18" s="5">
        <v>43521</v>
      </c>
      <c r="LKE18" s="2" t="s">
        <v>68</v>
      </c>
      <c r="LKF18" s="7"/>
      <c r="LKG18"/>
      <c r="LKH18"/>
      <c r="LKI18" s="10">
        <v>-1.01</v>
      </c>
      <c r="LKJ18" s="2" t="s">
        <v>65</v>
      </c>
      <c r="LKK18" t="s">
        <v>14</v>
      </c>
      <c r="LKL18" s="5">
        <v>43521</v>
      </c>
      <c r="LKM18" s="2" t="s">
        <v>68</v>
      </c>
      <c r="LKN18" s="7"/>
      <c r="LKO18"/>
      <c r="LKP18"/>
      <c r="LKQ18" s="10">
        <v>-1.01</v>
      </c>
      <c r="LKR18" s="2" t="s">
        <v>65</v>
      </c>
      <c r="LKS18" t="s">
        <v>14</v>
      </c>
      <c r="LKT18" s="5">
        <v>43521</v>
      </c>
      <c r="LKU18" s="2" t="s">
        <v>68</v>
      </c>
      <c r="LKV18" s="7"/>
      <c r="LKW18"/>
      <c r="LKX18"/>
      <c r="LKY18" s="10">
        <v>-1.01</v>
      </c>
      <c r="LKZ18" s="2" t="s">
        <v>65</v>
      </c>
      <c r="LLA18" t="s">
        <v>14</v>
      </c>
      <c r="LLB18" s="5">
        <v>43521</v>
      </c>
      <c r="LLC18" s="2" t="s">
        <v>68</v>
      </c>
      <c r="LLD18" s="7"/>
      <c r="LLE18"/>
      <c r="LLF18"/>
      <c r="LLG18" s="10">
        <v>-1.01</v>
      </c>
      <c r="LLH18" s="2" t="s">
        <v>65</v>
      </c>
      <c r="LLI18" t="s">
        <v>14</v>
      </c>
      <c r="LLJ18" s="5">
        <v>43521</v>
      </c>
      <c r="LLK18" s="2" t="s">
        <v>68</v>
      </c>
      <c r="LLL18" s="7"/>
      <c r="LLM18"/>
      <c r="LLN18"/>
      <c r="LLO18" s="10">
        <v>-1.01</v>
      </c>
      <c r="LLP18" s="2" t="s">
        <v>65</v>
      </c>
      <c r="LLQ18" t="s">
        <v>14</v>
      </c>
      <c r="LLR18" s="5">
        <v>43521</v>
      </c>
      <c r="LLS18" s="2" t="s">
        <v>68</v>
      </c>
      <c r="LLT18" s="7"/>
      <c r="LLU18"/>
      <c r="LLV18"/>
      <c r="LLW18" s="10">
        <v>-1.01</v>
      </c>
      <c r="LLX18" s="2" t="s">
        <v>65</v>
      </c>
      <c r="LLY18" t="s">
        <v>14</v>
      </c>
      <c r="LLZ18" s="5">
        <v>43521</v>
      </c>
      <c r="LMA18" s="2" t="s">
        <v>68</v>
      </c>
      <c r="LMB18" s="7"/>
      <c r="LMC18"/>
      <c r="LMD18"/>
      <c r="LME18" s="10">
        <v>-1.01</v>
      </c>
      <c r="LMF18" s="2" t="s">
        <v>65</v>
      </c>
      <c r="LMG18" t="s">
        <v>14</v>
      </c>
      <c r="LMH18" s="5">
        <v>43521</v>
      </c>
      <c r="LMI18" s="2" t="s">
        <v>68</v>
      </c>
      <c r="LMJ18" s="7"/>
      <c r="LMK18"/>
      <c r="LML18"/>
      <c r="LMM18" s="10">
        <v>-1.01</v>
      </c>
      <c r="LMN18" s="2" t="s">
        <v>65</v>
      </c>
      <c r="LMO18" t="s">
        <v>14</v>
      </c>
      <c r="LMP18" s="5">
        <v>43521</v>
      </c>
      <c r="LMQ18" s="2" t="s">
        <v>68</v>
      </c>
      <c r="LMR18" s="7"/>
      <c r="LMS18"/>
      <c r="LMT18"/>
      <c r="LMU18" s="10">
        <v>-1.01</v>
      </c>
      <c r="LMV18" s="2" t="s">
        <v>65</v>
      </c>
      <c r="LMW18" t="s">
        <v>14</v>
      </c>
      <c r="LMX18" s="5">
        <v>43521</v>
      </c>
      <c r="LMY18" s="2" t="s">
        <v>68</v>
      </c>
      <c r="LMZ18" s="7"/>
      <c r="LNA18"/>
      <c r="LNB18"/>
      <c r="LNC18" s="10">
        <v>-1.01</v>
      </c>
      <c r="LND18" s="2" t="s">
        <v>65</v>
      </c>
      <c r="LNE18" t="s">
        <v>14</v>
      </c>
      <c r="LNF18" s="5">
        <v>43521</v>
      </c>
      <c r="LNG18" s="2" t="s">
        <v>68</v>
      </c>
      <c r="LNH18" s="7"/>
      <c r="LNI18"/>
      <c r="LNJ18"/>
      <c r="LNK18" s="10">
        <v>-1.01</v>
      </c>
      <c r="LNL18" s="2" t="s">
        <v>65</v>
      </c>
      <c r="LNM18" t="s">
        <v>14</v>
      </c>
      <c r="LNN18" s="5">
        <v>43521</v>
      </c>
      <c r="LNO18" s="2" t="s">
        <v>68</v>
      </c>
      <c r="LNP18" s="7"/>
      <c r="LNQ18"/>
      <c r="LNR18"/>
      <c r="LNS18" s="10">
        <v>-1.01</v>
      </c>
      <c r="LNT18" s="2" t="s">
        <v>65</v>
      </c>
      <c r="LNU18" t="s">
        <v>14</v>
      </c>
      <c r="LNV18" s="5">
        <v>43521</v>
      </c>
      <c r="LNW18" s="2" t="s">
        <v>68</v>
      </c>
      <c r="LNX18" s="7"/>
      <c r="LNY18"/>
      <c r="LNZ18"/>
      <c r="LOA18" s="10">
        <v>-1.01</v>
      </c>
      <c r="LOB18" s="2" t="s">
        <v>65</v>
      </c>
      <c r="LOC18" t="s">
        <v>14</v>
      </c>
      <c r="LOD18" s="5">
        <v>43521</v>
      </c>
      <c r="LOE18" s="2" t="s">
        <v>68</v>
      </c>
      <c r="LOF18" s="7"/>
      <c r="LOG18"/>
      <c r="LOH18"/>
      <c r="LOI18" s="10">
        <v>-1.01</v>
      </c>
      <c r="LOJ18" s="2" t="s">
        <v>65</v>
      </c>
      <c r="LOK18" t="s">
        <v>14</v>
      </c>
      <c r="LOL18" s="5">
        <v>43521</v>
      </c>
      <c r="LOM18" s="2" t="s">
        <v>68</v>
      </c>
      <c r="LON18" s="7"/>
      <c r="LOO18"/>
      <c r="LOP18"/>
      <c r="LOQ18" s="10">
        <v>-1.01</v>
      </c>
      <c r="LOR18" s="2" t="s">
        <v>65</v>
      </c>
      <c r="LOS18" t="s">
        <v>14</v>
      </c>
      <c r="LOT18" s="5">
        <v>43521</v>
      </c>
      <c r="LOU18" s="2" t="s">
        <v>68</v>
      </c>
      <c r="LOV18" s="7"/>
      <c r="LOW18"/>
      <c r="LOX18"/>
      <c r="LOY18" s="10">
        <v>-1.01</v>
      </c>
      <c r="LOZ18" s="2" t="s">
        <v>65</v>
      </c>
      <c r="LPA18" t="s">
        <v>14</v>
      </c>
      <c r="LPB18" s="5">
        <v>43521</v>
      </c>
      <c r="LPC18" s="2" t="s">
        <v>68</v>
      </c>
      <c r="LPD18" s="7"/>
      <c r="LPE18"/>
      <c r="LPF18"/>
      <c r="LPG18" s="10">
        <v>-1.01</v>
      </c>
      <c r="LPH18" s="2" t="s">
        <v>65</v>
      </c>
      <c r="LPI18" t="s">
        <v>14</v>
      </c>
      <c r="LPJ18" s="5">
        <v>43521</v>
      </c>
      <c r="LPK18" s="2" t="s">
        <v>68</v>
      </c>
      <c r="LPL18" s="7"/>
      <c r="LPM18"/>
      <c r="LPN18"/>
      <c r="LPO18" s="10">
        <v>-1.01</v>
      </c>
      <c r="LPP18" s="2" t="s">
        <v>65</v>
      </c>
      <c r="LPQ18" t="s">
        <v>14</v>
      </c>
      <c r="LPR18" s="5">
        <v>43521</v>
      </c>
      <c r="LPS18" s="2" t="s">
        <v>68</v>
      </c>
      <c r="LPT18" s="7"/>
      <c r="LPU18"/>
      <c r="LPV18"/>
      <c r="LPW18" s="10">
        <v>-1.01</v>
      </c>
      <c r="LPX18" s="2" t="s">
        <v>65</v>
      </c>
      <c r="LPY18" t="s">
        <v>14</v>
      </c>
      <c r="LPZ18" s="5">
        <v>43521</v>
      </c>
      <c r="LQA18" s="2" t="s">
        <v>68</v>
      </c>
      <c r="LQB18" s="7"/>
      <c r="LQC18"/>
      <c r="LQD18"/>
      <c r="LQE18" s="10">
        <v>-1.01</v>
      </c>
      <c r="LQF18" s="2" t="s">
        <v>65</v>
      </c>
      <c r="LQG18" t="s">
        <v>14</v>
      </c>
      <c r="LQH18" s="5">
        <v>43521</v>
      </c>
      <c r="LQI18" s="2" t="s">
        <v>68</v>
      </c>
      <c r="LQJ18" s="7"/>
      <c r="LQK18"/>
      <c r="LQL18"/>
      <c r="LQM18" s="10">
        <v>-1.01</v>
      </c>
      <c r="LQN18" s="2" t="s">
        <v>65</v>
      </c>
      <c r="LQO18" t="s">
        <v>14</v>
      </c>
      <c r="LQP18" s="5">
        <v>43521</v>
      </c>
      <c r="LQQ18" s="2" t="s">
        <v>68</v>
      </c>
      <c r="LQR18" s="7"/>
      <c r="LQS18"/>
      <c r="LQT18"/>
      <c r="LQU18" s="10">
        <v>-1.01</v>
      </c>
      <c r="LQV18" s="2" t="s">
        <v>65</v>
      </c>
      <c r="LQW18" t="s">
        <v>14</v>
      </c>
      <c r="LQX18" s="5">
        <v>43521</v>
      </c>
      <c r="LQY18" s="2" t="s">
        <v>68</v>
      </c>
      <c r="LQZ18" s="7"/>
      <c r="LRA18"/>
      <c r="LRB18"/>
      <c r="LRC18" s="10">
        <v>-1.01</v>
      </c>
      <c r="LRD18" s="2" t="s">
        <v>65</v>
      </c>
      <c r="LRE18" t="s">
        <v>14</v>
      </c>
      <c r="LRF18" s="5">
        <v>43521</v>
      </c>
      <c r="LRG18" s="2" t="s">
        <v>68</v>
      </c>
      <c r="LRH18" s="7"/>
      <c r="LRI18"/>
      <c r="LRJ18"/>
      <c r="LRK18" s="10">
        <v>-1.01</v>
      </c>
      <c r="LRL18" s="2" t="s">
        <v>65</v>
      </c>
      <c r="LRM18" t="s">
        <v>14</v>
      </c>
      <c r="LRN18" s="5">
        <v>43521</v>
      </c>
      <c r="LRO18" s="2" t="s">
        <v>68</v>
      </c>
      <c r="LRP18" s="7"/>
      <c r="LRQ18"/>
      <c r="LRR18"/>
      <c r="LRS18" s="10">
        <v>-1.01</v>
      </c>
      <c r="LRT18" s="2" t="s">
        <v>65</v>
      </c>
      <c r="LRU18" t="s">
        <v>14</v>
      </c>
      <c r="LRV18" s="5">
        <v>43521</v>
      </c>
      <c r="LRW18" s="2" t="s">
        <v>68</v>
      </c>
      <c r="LRX18" s="7"/>
      <c r="LRY18"/>
      <c r="LRZ18"/>
      <c r="LSA18" s="10">
        <v>-1.01</v>
      </c>
      <c r="LSB18" s="2" t="s">
        <v>65</v>
      </c>
      <c r="LSC18" t="s">
        <v>14</v>
      </c>
      <c r="LSD18" s="5">
        <v>43521</v>
      </c>
      <c r="LSE18" s="2" t="s">
        <v>68</v>
      </c>
      <c r="LSF18" s="7"/>
      <c r="LSG18"/>
      <c r="LSH18"/>
      <c r="LSI18" s="10">
        <v>-1.01</v>
      </c>
      <c r="LSJ18" s="2" t="s">
        <v>65</v>
      </c>
      <c r="LSK18" t="s">
        <v>14</v>
      </c>
      <c r="LSL18" s="5">
        <v>43521</v>
      </c>
      <c r="LSM18" s="2" t="s">
        <v>68</v>
      </c>
      <c r="LSN18" s="7"/>
      <c r="LSO18"/>
      <c r="LSP18"/>
      <c r="LSQ18" s="10">
        <v>-1.01</v>
      </c>
      <c r="LSR18" s="2" t="s">
        <v>65</v>
      </c>
      <c r="LSS18" t="s">
        <v>14</v>
      </c>
      <c r="LST18" s="5">
        <v>43521</v>
      </c>
      <c r="LSU18" s="2" t="s">
        <v>68</v>
      </c>
      <c r="LSV18" s="7"/>
      <c r="LSW18"/>
      <c r="LSX18"/>
      <c r="LSY18" s="10">
        <v>-1.01</v>
      </c>
      <c r="LSZ18" s="2" t="s">
        <v>65</v>
      </c>
      <c r="LTA18" t="s">
        <v>14</v>
      </c>
      <c r="LTB18" s="5">
        <v>43521</v>
      </c>
      <c r="LTC18" s="2" t="s">
        <v>68</v>
      </c>
      <c r="LTD18" s="7"/>
      <c r="LTE18"/>
      <c r="LTF18"/>
      <c r="LTG18" s="10">
        <v>-1.01</v>
      </c>
      <c r="LTH18" s="2" t="s">
        <v>65</v>
      </c>
      <c r="LTI18" t="s">
        <v>14</v>
      </c>
      <c r="LTJ18" s="5">
        <v>43521</v>
      </c>
      <c r="LTK18" s="2" t="s">
        <v>68</v>
      </c>
      <c r="LTL18" s="7"/>
      <c r="LTM18"/>
      <c r="LTN18"/>
      <c r="LTO18" s="10">
        <v>-1.01</v>
      </c>
      <c r="LTP18" s="2" t="s">
        <v>65</v>
      </c>
      <c r="LTQ18" t="s">
        <v>14</v>
      </c>
      <c r="LTR18" s="5">
        <v>43521</v>
      </c>
      <c r="LTS18" s="2" t="s">
        <v>68</v>
      </c>
      <c r="LTT18" s="7"/>
      <c r="LTU18"/>
      <c r="LTV18"/>
      <c r="LTW18" s="10">
        <v>-1.01</v>
      </c>
      <c r="LTX18" s="2" t="s">
        <v>65</v>
      </c>
      <c r="LTY18" t="s">
        <v>14</v>
      </c>
      <c r="LTZ18" s="5">
        <v>43521</v>
      </c>
      <c r="LUA18" s="2" t="s">
        <v>68</v>
      </c>
      <c r="LUB18" s="7"/>
      <c r="LUC18"/>
      <c r="LUD18"/>
      <c r="LUE18" s="10">
        <v>-1.01</v>
      </c>
      <c r="LUF18" s="2" t="s">
        <v>65</v>
      </c>
      <c r="LUG18" t="s">
        <v>14</v>
      </c>
      <c r="LUH18" s="5">
        <v>43521</v>
      </c>
      <c r="LUI18" s="2" t="s">
        <v>68</v>
      </c>
      <c r="LUJ18" s="7"/>
      <c r="LUK18"/>
      <c r="LUL18"/>
      <c r="LUM18" s="10">
        <v>-1.01</v>
      </c>
      <c r="LUN18" s="2" t="s">
        <v>65</v>
      </c>
      <c r="LUO18" t="s">
        <v>14</v>
      </c>
      <c r="LUP18" s="5">
        <v>43521</v>
      </c>
      <c r="LUQ18" s="2" t="s">
        <v>68</v>
      </c>
      <c r="LUR18" s="7"/>
      <c r="LUS18"/>
      <c r="LUT18"/>
      <c r="LUU18" s="10">
        <v>-1.01</v>
      </c>
      <c r="LUV18" s="2" t="s">
        <v>65</v>
      </c>
      <c r="LUW18" t="s">
        <v>14</v>
      </c>
      <c r="LUX18" s="5">
        <v>43521</v>
      </c>
      <c r="LUY18" s="2" t="s">
        <v>68</v>
      </c>
      <c r="LUZ18" s="7"/>
      <c r="LVA18"/>
      <c r="LVB18"/>
      <c r="LVC18" s="10">
        <v>-1.01</v>
      </c>
      <c r="LVD18" s="2" t="s">
        <v>65</v>
      </c>
      <c r="LVE18" t="s">
        <v>14</v>
      </c>
      <c r="LVF18" s="5">
        <v>43521</v>
      </c>
      <c r="LVG18" s="2" t="s">
        <v>68</v>
      </c>
      <c r="LVH18" s="7"/>
      <c r="LVI18"/>
      <c r="LVJ18"/>
      <c r="LVK18" s="10">
        <v>-1.01</v>
      </c>
      <c r="LVL18" s="2" t="s">
        <v>65</v>
      </c>
      <c r="LVM18" t="s">
        <v>14</v>
      </c>
      <c r="LVN18" s="5">
        <v>43521</v>
      </c>
      <c r="LVO18" s="2" t="s">
        <v>68</v>
      </c>
      <c r="LVP18" s="7"/>
      <c r="LVQ18"/>
      <c r="LVR18"/>
      <c r="LVS18" s="10">
        <v>-1.01</v>
      </c>
      <c r="LVT18" s="2" t="s">
        <v>65</v>
      </c>
      <c r="LVU18" t="s">
        <v>14</v>
      </c>
      <c r="LVV18" s="5">
        <v>43521</v>
      </c>
      <c r="LVW18" s="2" t="s">
        <v>68</v>
      </c>
      <c r="LVX18" s="7"/>
      <c r="LVY18"/>
      <c r="LVZ18"/>
      <c r="LWA18" s="10">
        <v>-1.01</v>
      </c>
      <c r="LWB18" s="2" t="s">
        <v>65</v>
      </c>
      <c r="LWC18" t="s">
        <v>14</v>
      </c>
      <c r="LWD18" s="5">
        <v>43521</v>
      </c>
      <c r="LWE18" s="2" t="s">
        <v>68</v>
      </c>
      <c r="LWF18" s="7"/>
      <c r="LWG18"/>
      <c r="LWH18"/>
      <c r="LWI18" s="10">
        <v>-1.01</v>
      </c>
      <c r="LWJ18" s="2" t="s">
        <v>65</v>
      </c>
      <c r="LWK18" t="s">
        <v>14</v>
      </c>
      <c r="LWL18" s="5">
        <v>43521</v>
      </c>
      <c r="LWM18" s="2" t="s">
        <v>68</v>
      </c>
      <c r="LWN18" s="7"/>
      <c r="LWO18"/>
      <c r="LWP18"/>
      <c r="LWQ18" s="10">
        <v>-1.01</v>
      </c>
      <c r="LWR18" s="2" t="s">
        <v>65</v>
      </c>
      <c r="LWS18" t="s">
        <v>14</v>
      </c>
      <c r="LWT18" s="5">
        <v>43521</v>
      </c>
      <c r="LWU18" s="2" t="s">
        <v>68</v>
      </c>
      <c r="LWV18" s="7"/>
      <c r="LWW18"/>
      <c r="LWX18"/>
      <c r="LWY18" s="10">
        <v>-1.01</v>
      </c>
      <c r="LWZ18" s="2" t="s">
        <v>65</v>
      </c>
      <c r="LXA18" t="s">
        <v>14</v>
      </c>
      <c r="LXB18" s="5">
        <v>43521</v>
      </c>
      <c r="LXC18" s="2" t="s">
        <v>68</v>
      </c>
      <c r="LXD18" s="7"/>
      <c r="LXE18"/>
      <c r="LXF18"/>
      <c r="LXG18" s="10">
        <v>-1.01</v>
      </c>
      <c r="LXH18" s="2" t="s">
        <v>65</v>
      </c>
      <c r="LXI18" t="s">
        <v>14</v>
      </c>
      <c r="LXJ18" s="5">
        <v>43521</v>
      </c>
      <c r="LXK18" s="2" t="s">
        <v>68</v>
      </c>
      <c r="LXL18" s="7"/>
      <c r="LXM18"/>
      <c r="LXN18"/>
      <c r="LXO18" s="10">
        <v>-1.01</v>
      </c>
      <c r="LXP18" s="2" t="s">
        <v>65</v>
      </c>
      <c r="LXQ18" t="s">
        <v>14</v>
      </c>
      <c r="LXR18" s="5">
        <v>43521</v>
      </c>
      <c r="LXS18" s="2" t="s">
        <v>68</v>
      </c>
      <c r="LXT18" s="7"/>
      <c r="LXU18"/>
      <c r="LXV18"/>
      <c r="LXW18" s="10">
        <v>-1.01</v>
      </c>
      <c r="LXX18" s="2" t="s">
        <v>65</v>
      </c>
      <c r="LXY18" t="s">
        <v>14</v>
      </c>
      <c r="LXZ18" s="5">
        <v>43521</v>
      </c>
      <c r="LYA18" s="2" t="s">
        <v>68</v>
      </c>
      <c r="LYB18" s="7"/>
      <c r="LYC18"/>
      <c r="LYD18"/>
      <c r="LYE18" s="10">
        <v>-1.01</v>
      </c>
      <c r="LYF18" s="2" t="s">
        <v>65</v>
      </c>
      <c r="LYG18" t="s">
        <v>14</v>
      </c>
      <c r="LYH18" s="5">
        <v>43521</v>
      </c>
      <c r="LYI18" s="2" t="s">
        <v>68</v>
      </c>
      <c r="LYJ18" s="7"/>
      <c r="LYK18"/>
      <c r="LYL18"/>
      <c r="LYM18" s="10">
        <v>-1.01</v>
      </c>
      <c r="LYN18" s="2" t="s">
        <v>65</v>
      </c>
      <c r="LYO18" t="s">
        <v>14</v>
      </c>
      <c r="LYP18" s="5">
        <v>43521</v>
      </c>
      <c r="LYQ18" s="2" t="s">
        <v>68</v>
      </c>
      <c r="LYR18" s="7"/>
      <c r="LYS18"/>
      <c r="LYT18"/>
      <c r="LYU18" s="10">
        <v>-1.01</v>
      </c>
      <c r="LYV18" s="2" t="s">
        <v>65</v>
      </c>
      <c r="LYW18" t="s">
        <v>14</v>
      </c>
      <c r="LYX18" s="5">
        <v>43521</v>
      </c>
      <c r="LYY18" s="2" t="s">
        <v>68</v>
      </c>
      <c r="LYZ18" s="7"/>
      <c r="LZA18"/>
      <c r="LZB18"/>
      <c r="LZC18" s="10">
        <v>-1.01</v>
      </c>
      <c r="LZD18" s="2" t="s">
        <v>65</v>
      </c>
      <c r="LZE18" t="s">
        <v>14</v>
      </c>
      <c r="LZF18" s="5">
        <v>43521</v>
      </c>
      <c r="LZG18" s="2" t="s">
        <v>68</v>
      </c>
      <c r="LZH18" s="7"/>
      <c r="LZI18"/>
      <c r="LZJ18"/>
      <c r="LZK18" s="10">
        <v>-1.01</v>
      </c>
      <c r="LZL18" s="2" t="s">
        <v>65</v>
      </c>
      <c r="LZM18" t="s">
        <v>14</v>
      </c>
      <c r="LZN18" s="5">
        <v>43521</v>
      </c>
      <c r="LZO18" s="2" t="s">
        <v>68</v>
      </c>
      <c r="LZP18" s="7"/>
      <c r="LZQ18"/>
      <c r="LZR18"/>
      <c r="LZS18" s="10">
        <v>-1.01</v>
      </c>
      <c r="LZT18" s="2" t="s">
        <v>65</v>
      </c>
      <c r="LZU18" t="s">
        <v>14</v>
      </c>
      <c r="LZV18" s="5">
        <v>43521</v>
      </c>
      <c r="LZW18" s="2" t="s">
        <v>68</v>
      </c>
      <c r="LZX18" s="7"/>
      <c r="LZY18"/>
      <c r="LZZ18"/>
      <c r="MAA18" s="10">
        <v>-1.01</v>
      </c>
      <c r="MAB18" s="2" t="s">
        <v>65</v>
      </c>
      <c r="MAC18" t="s">
        <v>14</v>
      </c>
      <c r="MAD18" s="5">
        <v>43521</v>
      </c>
      <c r="MAE18" s="2" t="s">
        <v>68</v>
      </c>
      <c r="MAF18" s="7"/>
      <c r="MAG18"/>
      <c r="MAH18"/>
      <c r="MAI18" s="10">
        <v>-1.01</v>
      </c>
      <c r="MAJ18" s="2" t="s">
        <v>65</v>
      </c>
      <c r="MAK18" t="s">
        <v>14</v>
      </c>
      <c r="MAL18" s="5">
        <v>43521</v>
      </c>
      <c r="MAM18" s="2" t="s">
        <v>68</v>
      </c>
      <c r="MAN18" s="7"/>
      <c r="MAO18"/>
      <c r="MAP18"/>
      <c r="MAQ18" s="10">
        <v>-1.01</v>
      </c>
      <c r="MAR18" s="2" t="s">
        <v>65</v>
      </c>
      <c r="MAS18" t="s">
        <v>14</v>
      </c>
      <c r="MAT18" s="5">
        <v>43521</v>
      </c>
      <c r="MAU18" s="2" t="s">
        <v>68</v>
      </c>
      <c r="MAV18" s="7"/>
      <c r="MAW18"/>
      <c r="MAX18"/>
      <c r="MAY18" s="10">
        <v>-1.01</v>
      </c>
      <c r="MAZ18" s="2" t="s">
        <v>65</v>
      </c>
      <c r="MBA18" t="s">
        <v>14</v>
      </c>
      <c r="MBB18" s="5">
        <v>43521</v>
      </c>
      <c r="MBC18" s="2" t="s">
        <v>68</v>
      </c>
      <c r="MBD18" s="7"/>
      <c r="MBE18"/>
      <c r="MBF18"/>
      <c r="MBG18" s="10">
        <v>-1.01</v>
      </c>
      <c r="MBH18" s="2" t="s">
        <v>65</v>
      </c>
      <c r="MBI18" t="s">
        <v>14</v>
      </c>
      <c r="MBJ18" s="5">
        <v>43521</v>
      </c>
      <c r="MBK18" s="2" t="s">
        <v>68</v>
      </c>
      <c r="MBL18" s="7"/>
      <c r="MBM18"/>
      <c r="MBN18"/>
      <c r="MBO18" s="10">
        <v>-1.01</v>
      </c>
      <c r="MBP18" s="2" t="s">
        <v>65</v>
      </c>
      <c r="MBQ18" t="s">
        <v>14</v>
      </c>
      <c r="MBR18" s="5">
        <v>43521</v>
      </c>
      <c r="MBS18" s="2" t="s">
        <v>68</v>
      </c>
      <c r="MBT18" s="7"/>
      <c r="MBU18"/>
      <c r="MBV18"/>
      <c r="MBW18" s="10">
        <v>-1.01</v>
      </c>
      <c r="MBX18" s="2" t="s">
        <v>65</v>
      </c>
      <c r="MBY18" t="s">
        <v>14</v>
      </c>
      <c r="MBZ18" s="5">
        <v>43521</v>
      </c>
      <c r="MCA18" s="2" t="s">
        <v>68</v>
      </c>
      <c r="MCB18" s="7"/>
      <c r="MCC18"/>
      <c r="MCD18"/>
      <c r="MCE18" s="10">
        <v>-1.01</v>
      </c>
      <c r="MCF18" s="2" t="s">
        <v>65</v>
      </c>
      <c r="MCG18" t="s">
        <v>14</v>
      </c>
      <c r="MCH18" s="5">
        <v>43521</v>
      </c>
      <c r="MCI18" s="2" t="s">
        <v>68</v>
      </c>
      <c r="MCJ18" s="7"/>
      <c r="MCK18"/>
      <c r="MCL18"/>
      <c r="MCM18" s="10">
        <v>-1.01</v>
      </c>
      <c r="MCN18" s="2" t="s">
        <v>65</v>
      </c>
      <c r="MCO18" t="s">
        <v>14</v>
      </c>
      <c r="MCP18" s="5">
        <v>43521</v>
      </c>
      <c r="MCQ18" s="2" t="s">
        <v>68</v>
      </c>
      <c r="MCR18" s="7"/>
      <c r="MCS18"/>
      <c r="MCT18"/>
      <c r="MCU18" s="10">
        <v>-1.01</v>
      </c>
      <c r="MCV18" s="2" t="s">
        <v>65</v>
      </c>
      <c r="MCW18" t="s">
        <v>14</v>
      </c>
      <c r="MCX18" s="5">
        <v>43521</v>
      </c>
      <c r="MCY18" s="2" t="s">
        <v>68</v>
      </c>
      <c r="MCZ18" s="7"/>
      <c r="MDA18"/>
      <c r="MDB18"/>
      <c r="MDC18" s="10">
        <v>-1.01</v>
      </c>
      <c r="MDD18" s="2" t="s">
        <v>65</v>
      </c>
      <c r="MDE18" t="s">
        <v>14</v>
      </c>
      <c r="MDF18" s="5">
        <v>43521</v>
      </c>
      <c r="MDG18" s="2" t="s">
        <v>68</v>
      </c>
      <c r="MDH18" s="7"/>
      <c r="MDI18"/>
      <c r="MDJ18"/>
      <c r="MDK18" s="10">
        <v>-1.01</v>
      </c>
      <c r="MDL18" s="2" t="s">
        <v>65</v>
      </c>
      <c r="MDM18" t="s">
        <v>14</v>
      </c>
      <c r="MDN18" s="5">
        <v>43521</v>
      </c>
      <c r="MDO18" s="2" t="s">
        <v>68</v>
      </c>
      <c r="MDP18" s="7"/>
      <c r="MDQ18"/>
      <c r="MDR18"/>
      <c r="MDS18" s="10">
        <v>-1.01</v>
      </c>
      <c r="MDT18" s="2" t="s">
        <v>65</v>
      </c>
      <c r="MDU18" t="s">
        <v>14</v>
      </c>
      <c r="MDV18" s="5">
        <v>43521</v>
      </c>
      <c r="MDW18" s="2" t="s">
        <v>68</v>
      </c>
      <c r="MDX18" s="7"/>
      <c r="MDY18"/>
      <c r="MDZ18"/>
      <c r="MEA18" s="10">
        <v>-1.01</v>
      </c>
      <c r="MEB18" s="2" t="s">
        <v>65</v>
      </c>
      <c r="MEC18" t="s">
        <v>14</v>
      </c>
      <c r="MED18" s="5">
        <v>43521</v>
      </c>
      <c r="MEE18" s="2" t="s">
        <v>68</v>
      </c>
      <c r="MEF18" s="7"/>
      <c r="MEG18"/>
      <c r="MEH18"/>
      <c r="MEI18" s="10">
        <v>-1.01</v>
      </c>
      <c r="MEJ18" s="2" t="s">
        <v>65</v>
      </c>
      <c r="MEK18" t="s">
        <v>14</v>
      </c>
      <c r="MEL18" s="5">
        <v>43521</v>
      </c>
      <c r="MEM18" s="2" t="s">
        <v>68</v>
      </c>
      <c r="MEN18" s="7"/>
      <c r="MEO18"/>
      <c r="MEP18"/>
      <c r="MEQ18" s="10">
        <v>-1.01</v>
      </c>
      <c r="MER18" s="2" t="s">
        <v>65</v>
      </c>
      <c r="MES18" t="s">
        <v>14</v>
      </c>
      <c r="MET18" s="5">
        <v>43521</v>
      </c>
      <c r="MEU18" s="2" t="s">
        <v>68</v>
      </c>
      <c r="MEV18" s="7"/>
      <c r="MEW18"/>
      <c r="MEX18"/>
      <c r="MEY18" s="10">
        <v>-1.01</v>
      </c>
      <c r="MEZ18" s="2" t="s">
        <v>65</v>
      </c>
      <c r="MFA18" t="s">
        <v>14</v>
      </c>
      <c r="MFB18" s="5">
        <v>43521</v>
      </c>
      <c r="MFC18" s="2" t="s">
        <v>68</v>
      </c>
      <c r="MFD18" s="7"/>
      <c r="MFE18"/>
      <c r="MFF18"/>
      <c r="MFG18" s="10">
        <v>-1.01</v>
      </c>
      <c r="MFH18" s="2" t="s">
        <v>65</v>
      </c>
      <c r="MFI18" t="s">
        <v>14</v>
      </c>
      <c r="MFJ18" s="5">
        <v>43521</v>
      </c>
      <c r="MFK18" s="2" t="s">
        <v>68</v>
      </c>
      <c r="MFL18" s="7"/>
      <c r="MFM18"/>
      <c r="MFN18"/>
      <c r="MFO18" s="10">
        <v>-1.01</v>
      </c>
      <c r="MFP18" s="2" t="s">
        <v>65</v>
      </c>
      <c r="MFQ18" t="s">
        <v>14</v>
      </c>
      <c r="MFR18" s="5">
        <v>43521</v>
      </c>
      <c r="MFS18" s="2" t="s">
        <v>68</v>
      </c>
      <c r="MFT18" s="7"/>
      <c r="MFU18"/>
      <c r="MFV18"/>
      <c r="MFW18" s="10">
        <v>-1.01</v>
      </c>
      <c r="MFX18" s="2" t="s">
        <v>65</v>
      </c>
      <c r="MFY18" t="s">
        <v>14</v>
      </c>
      <c r="MFZ18" s="5">
        <v>43521</v>
      </c>
      <c r="MGA18" s="2" t="s">
        <v>68</v>
      </c>
      <c r="MGB18" s="7"/>
      <c r="MGC18"/>
      <c r="MGD18"/>
      <c r="MGE18" s="10">
        <v>-1.01</v>
      </c>
      <c r="MGF18" s="2" t="s">
        <v>65</v>
      </c>
      <c r="MGG18" t="s">
        <v>14</v>
      </c>
      <c r="MGH18" s="5">
        <v>43521</v>
      </c>
      <c r="MGI18" s="2" t="s">
        <v>68</v>
      </c>
      <c r="MGJ18" s="7"/>
      <c r="MGK18"/>
      <c r="MGL18"/>
      <c r="MGM18" s="10">
        <v>-1.01</v>
      </c>
      <c r="MGN18" s="2" t="s">
        <v>65</v>
      </c>
      <c r="MGO18" t="s">
        <v>14</v>
      </c>
      <c r="MGP18" s="5">
        <v>43521</v>
      </c>
      <c r="MGQ18" s="2" t="s">
        <v>68</v>
      </c>
      <c r="MGR18" s="7"/>
      <c r="MGS18"/>
      <c r="MGT18"/>
      <c r="MGU18" s="10">
        <v>-1.01</v>
      </c>
      <c r="MGV18" s="2" t="s">
        <v>65</v>
      </c>
      <c r="MGW18" t="s">
        <v>14</v>
      </c>
      <c r="MGX18" s="5">
        <v>43521</v>
      </c>
      <c r="MGY18" s="2" t="s">
        <v>68</v>
      </c>
      <c r="MGZ18" s="7"/>
      <c r="MHA18"/>
      <c r="MHB18"/>
      <c r="MHC18" s="10">
        <v>-1.01</v>
      </c>
      <c r="MHD18" s="2" t="s">
        <v>65</v>
      </c>
      <c r="MHE18" t="s">
        <v>14</v>
      </c>
      <c r="MHF18" s="5">
        <v>43521</v>
      </c>
      <c r="MHG18" s="2" t="s">
        <v>68</v>
      </c>
      <c r="MHH18" s="7"/>
      <c r="MHI18"/>
      <c r="MHJ18"/>
      <c r="MHK18" s="10">
        <v>-1.01</v>
      </c>
      <c r="MHL18" s="2" t="s">
        <v>65</v>
      </c>
      <c r="MHM18" t="s">
        <v>14</v>
      </c>
      <c r="MHN18" s="5">
        <v>43521</v>
      </c>
      <c r="MHO18" s="2" t="s">
        <v>68</v>
      </c>
      <c r="MHP18" s="7"/>
      <c r="MHQ18"/>
      <c r="MHR18"/>
      <c r="MHS18" s="10">
        <v>-1.01</v>
      </c>
      <c r="MHT18" s="2" t="s">
        <v>65</v>
      </c>
      <c r="MHU18" t="s">
        <v>14</v>
      </c>
      <c r="MHV18" s="5">
        <v>43521</v>
      </c>
      <c r="MHW18" s="2" t="s">
        <v>68</v>
      </c>
      <c r="MHX18" s="7"/>
      <c r="MHY18"/>
      <c r="MHZ18"/>
      <c r="MIA18" s="10">
        <v>-1.01</v>
      </c>
      <c r="MIB18" s="2" t="s">
        <v>65</v>
      </c>
      <c r="MIC18" t="s">
        <v>14</v>
      </c>
      <c r="MID18" s="5">
        <v>43521</v>
      </c>
      <c r="MIE18" s="2" t="s">
        <v>68</v>
      </c>
      <c r="MIF18" s="7"/>
      <c r="MIG18"/>
      <c r="MIH18"/>
      <c r="MII18" s="10">
        <v>-1.01</v>
      </c>
      <c r="MIJ18" s="2" t="s">
        <v>65</v>
      </c>
      <c r="MIK18" t="s">
        <v>14</v>
      </c>
      <c r="MIL18" s="5">
        <v>43521</v>
      </c>
      <c r="MIM18" s="2" t="s">
        <v>68</v>
      </c>
      <c r="MIN18" s="7"/>
      <c r="MIO18"/>
      <c r="MIP18"/>
      <c r="MIQ18" s="10">
        <v>-1.01</v>
      </c>
      <c r="MIR18" s="2" t="s">
        <v>65</v>
      </c>
      <c r="MIS18" t="s">
        <v>14</v>
      </c>
      <c r="MIT18" s="5">
        <v>43521</v>
      </c>
      <c r="MIU18" s="2" t="s">
        <v>68</v>
      </c>
      <c r="MIV18" s="7"/>
      <c r="MIW18"/>
      <c r="MIX18"/>
      <c r="MIY18" s="10">
        <v>-1.01</v>
      </c>
      <c r="MIZ18" s="2" t="s">
        <v>65</v>
      </c>
      <c r="MJA18" t="s">
        <v>14</v>
      </c>
      <c r="MJB18" s="5">
        <v>43521</v>
      </c>
      <c r="MJC18" s="2" t="s">
        <v>68</v>
      </c>
      <c r="MJD18" s="7"/>
      <c r="MJE18"/>
      <c r="MJF18"/>
      <c r="MJG18" s="10">
        <v>-1.01</v>
      </c>
      <c r="MJH18" s="2" t="s">
        <v>65</v>
      </c>
      <c r="MJI18" t="s">
        <v>14</v>
      </c>
      <c r="MJJ18" s="5">
        <v>43521</v>
      </c>
      <c r="MJK18" s="2" t="s">
        <v>68</v>
      </c>
      <c r="MJL18" s="7"/>
      <c r="MJM18"/>
      <c r="MJN18"/>
      <c r="MJO18" s="10">
        <v>-1.01</v>
      </c>
      <c r="MJP18" s="2" t="s">
        <v>65</v>
      </c>
      <c r="MJQ18" t="s">
        <v>14</v>
      </c>
      <c r="MJR18" s="5">
        <v>43521</v>
      </c>
      <c r="MJS18" s="2" t="s">
        <v>68</v>
      </c>
      <c r="MJT18" s="7"/>
      <c r="MJU18"/>
      <c r="MJV18"/>
      <c r="MJW18" s="10">
        <v>-1.01</v>
      </c>
      <c r="MJX18" s="2" t="s">
        <v>65</v>
      </c>
      <c r="MJY18" t="s">
        <v>14</v>
      </c>
      <c r="MJZ18" s="5">
        <v>43521</v>
      </c>
      <c r="MKA18" s="2" t="s">
        <v>68</v>
      </c>
      <c r="MKB18" s="7"/>
      <c r="MKC18"/>
      <c r="MKD18"/>
      <c r="MKE18" s="10">
        <v>-1.01</v>
      </c>
      <c r="MKF18" s="2" t="s">
        <v>65</v>
      </c>
      <c r="MKG18" t="s">
        <v>14</v>
      </c>
      <c r="MKH18" s="5">
        <v>43521</v>
      </c>
      <c r="MKI18" s="2" t="s">
        <v>68</v>
      </c>
      <c r="MKJ18" s="7"/>
      <c r="MKK18"/>
      <c r="MKL18"/>
      <c r="MKM18" s="10">
        <v>-1.01</v>
      </c>
      <c r="MKN18" s="2" t="s">
        <v>65</v>
      </c>
      <c r="MKO18" t="s">
        <v>14</v>
      </c>
      <c r="MKP18" s="5">
        <v>43521</v>
      </c>
      <c r="MKQ18" s="2" t="s">
        <v>68</v>
      </c>
      <c r="MKR18" s="7"/>
      <c r="MKS18"/>
      <c r="MKT18"/>
      <c r="MKU18" s="10">
        <v>-1.01</v>
      </c>
      <c r="MKV18" s="2" t="s">
        <v>65</v>
      </c>
      <c r="MKW18" t="s">
        <v>14</v>
      </c>
      <c r="MKX18" s="5">
        <v>43521</v>
      </c>
      <c r="MKY18" s="2" t="s">
        <v>68</v>
      </c>
      <c r="MKZ18" s="7"/>
      <c r="MLA18"/>
      <c r="MLB18"/>
      <c r="MLC18" s="10">
        <v>-1.01</v>
      </c>
      <c r="MLD18" s="2" t="s">
        <v>65</v>
      </c>
      <c r="MLE18" t="s">
        <v>14</v>
      </c>
      <c r="MLF18" s="5">
        <v>43521</v>
      </c>
      <c r="MLG18" s="2" t="s">
        <v>68</v>
      </c>
      <c r="MLH18" s="7"/>
      <c r="MLI18"/>
      <c r="MLJ18"/>
      <c r="MLK18" s="10">
        <v>-1.01</v>
      </c>
      <c r="MLL18" s="2" t="s">
        <v>65</v>
      </c>
      <c r="MLM18" t="s">
        <v>14</v>
      </c>
      <c r="MLN18" s="5">
        <v>43521</v>
      </c>
      <c r="MLO18" s="2" t="s">
        <v>68</v>
      </c>
      <c r="MLP18" s="7"/>
      <c r="MLQ18"/>
      <c r="MLR18"/>
      <c r="MLS18" s="10">
        <v>-1.01</v>
      </c>
      <c r="MLT18" s="2" t="s">
        <v>65</v>
      </c>
      <c r="MLU18" t="s">
        <v>14</v>
      </c>
      <c r="MLV18" s="5">
        <v>43521</v>
      </c>
      <c r="MLW18" s="2" t="s">
        <v>68</v>
      </c>
      <c r="MLX18" s="7"/>
      <c r="MLY18"/>
      <c r="MLZ18"/>
      <c r="MMA18" s="10">
        <v>-1.01</v>
      </c>
      <c r="MMB18" s="2" t="s">
        <v>65</v>
      </c>
      <c r="MMC18" t="s">
        <v>14</v>
      </c>
      <c r="MMD18" s="5">
        <v>43521</v>
      </c>
      <c r="MME18" s="2" t="s">
        <v>68</v>
      </c>
      <c r="MMF18" s="7"/>
      <c r="MMG18"/>
      <c r="MMH18"/>
      <c r="MMI18" s="10">
        <v>-1.01</v>
      </c>
      <c r="MMJ18" s="2" t="s">
        <v>65</v>
      </c>
      <c r="MMK18" t="s">
        <v>14</v>
      </c>
      <c r="MML18" s="5">
        <v>43521</v>
      </c>
      <c r="MMM18" s="2" t="s">
        <v>68</v>
      </c>
      <c r="MMN18" s="7"/>
      <c r="MMO18"/>
      <c r="MMP18"/>
      <c r="MMQ18" s="10">
        <v>-1.01</v>
      </c>
      <c r="MMR18" s="2" t="s">
        <v>65</v>
      </c>
      <c r="MMS18" t="s">
        <v>14</v>
      </c>
      <c r="MMT18" s="5">
        <v>43521</v>
      </c>
      <c r="MMU18" s="2" t="s">
        <v>68</v>
      </c>
      <c r="MMV18" s="7"/>
      <c r="MMW18"/>
      <c r="MMX18"/>
      <c r="MMY18" s="10">
        <v>-1.01</v>
      </c>
      <c r="MMZ18" s="2" t="s">
        <v>65</v>
      </c>
      <c r="MNA18" t="s">
        <v>14</v>
      </c>
      <c r="MNB18" s="5">
        <v>43521</v>
      </c>
      <c r="MNC18" s="2" t="s">
        <v>68</v>
      </c>
      <c r="MND18" s="7"/>
      <c r="MNE18"/>
      <c r="MNF18"/>
      <c r="MNG18" s="10">
        <v>-1.01</v>
      </c>
      <c r="MNH18" s="2" t="s">
        <v>65</v>
      </c>
      <c r="MNI18" t="s">
        <v>14</v>
      </c>
      <c r="MNJ18" s="5">
        <v>43521</v>
      </c>
      <c r="MNK18" s="2" t="s">
        <v>68</v>
      </c>
      <c r="MNL18" s="7"/>
      <c r="MNM18"/>
      <c r="MNN18"/>
      <c r="MNO18" s="10">
        <v>-1.01</v>
      </c>
      <c r="MNP18" s="2" t="s">
        <v>65</v>
      </c>
      <c r="MNQ18" t="s">
        <v>14</v>
      </c>
      <c r="MNR18" s="5">
        <v>43521</v>
      </c>
      <c r="MNS18" s="2" t="s">
        <v>68</v>
      </c>
      <c r="MNT18" s="7"/>
      <c r="MNU18"/>
      <c r="MNV18"/>
      <c r="MNW18" s="10">
        <v>-1.01</v>
      </c>
      <c r="MNX18" s="2" t="s">
        <v>65</v>
      </c>
      <c r="MNY18" t="s">
        <v>14</v>
      </c>
      <c r="MNZ18" s="5">
        <v>43521</v>
      </c>
      <c r="MOA18" s="2" t="s">
        <v>68</v>
      </c>
      <c r="MOB18" s="7"/>
      <c r="MOC18"/>
      <c r="MOD18"/>
      <c r="MOE18" s="10">
        <v>-1.01</v>
      </c>
      <c r="MOF18" s="2" t="s">
        <v>65</v>
      </c>
      <c r="MOG18" t="s">
        <v>14</v>
      </c>
      <c r="MOH18" s="5">
        <v>43521</v>
      </c>
      <c r="MOI18" s="2" t="s">
        <v>68</v>
      </c>
      <c r="MOJ18" s="7"/>
      <c r="MOK18"/>
      <c r="MOL18"/>
      <c r="MOM18" s="10">
        <v>-1.01</v>
      </c>
      <c r="MON18" s="2" t="s">
        <v>65</v>
      </c>
      <c r="MOO18" t="s">
        <v>14</v>
      </c>
      <c r="MOP18" s="5">
        <v>43521</v>
      </c>
      <c r="MOQ18" s="2" t="s">
        <v>68</v>
      </c>
      <c r="MOR18" s="7"/>
      <c r="MOS18"/>
      <c r="MOT18"/>
      <c r="MOU18" s="10">
        <v>-1.01</v>
      </c>
      <c r="MOV18" s="2" t="s">
        <v>65</v>
      </c>
      <c r="MOW18" t="s">
        <v>14</v>
      </c>
      <c r="MOX18" s="5">
        <v>43521</v>
      </c>
      <c r="MOY18" s="2" t="s">
        <v>68</v>
      </c>
      <c r="MOZ18" s="7"/>
      <c r="MPA18"/>
      <c r="MPB18"/>
      <c r="MPC18" s="10">
        <v>-1.01</v>
      </c>
      <c r="MPD18" s="2" t="s">
        <v>65</v>
      </c>
      <c r="MPE18" t="s">
        <v>14</v>
      </c>
      <c r="MPF18" s="5">
        <v>43521</v>
      </c>
      <c r="MPG18" s="2" t="s">
        <v>68</v>
      </c>
      <c r="MPH18" s="7"/>
      <c r="MPI18"/>
      <c r="MPJ18"/>
      <c r="MPK18" s="10">
        <v>-1.01</v>
      </c>
      <c r="MPL18" s="2" t="s">
        <v>65</v>
      </c>
      <c r="MPM18" t="s">
        <v>14</v>
      </c>
      <c r="MPN18" s="5">
        <v>43521</v>
      </c>
      <c r="MPO18" s="2" t="s">
        <v>68</v>
      </c>
      <c r="MPP18" s="7"/>
      <c r="MPQ18"/>
      <c r="MPR18"/>
      <c r="MPS18" s="10">
        <v>-1.01</v>
      </c>
      <c r="MPT18" s="2" t="s">
        <v>65</v>
      </c>
      <c r="MPU18" t="s">
        <v>14</v>
      </c>
      <c r="MPV18" s="5">
        <v>43521</v>
      </c>
      <c r="MPW18" s="2" t="s">
        <v>68</v>
      </c>
      <c r="MPX18" s="7"/>
      <c r="MPY18"/>
      <c r="MPZ18"/>
      <c r="MQA18" s="10">
        <v>-1.01</v>
      </c>
      <c r="MQB18" s="2" t="s">
        <v>65</v>
      </c>
      <c r="MQC18" t="s">
        <v>14</v>
      </c>
      <c r="MQD18" s="5">
        <v>43521</v>
      </c>
      <c r="MQE18" s="2" t="s">
        <v>68</v>
      </c>
      <c r="MQF18" s="7"/>
      <c r="MQG18"/>
      <c r="MQH18"/>
      <c r="MQI18" s="10">
        <v>-1.01</v>
      </c>
      <c r="MQJ18" s="2" t="s">
        <v>65</v>
      </c>
      <c r="MQK18" t="s">
        <v>14</v>
      </c>
      <c r="MQL18" s="5">
        <v>43521</v>
      </c>
      <c r="MQM18" s="2" t="s">
        <v>68</v>
      </c>
      <c r="MQN18" s="7"/>
      <c r="MQO18"/>
      <c r="MQP18"/>
      <c r="MQQ18" s="10">
        <v>-1.01</v>
      </c>
      <c r="MQR18" s="2" t="s">
        <v>65</v>
      </c>
      <c r="MQS18" t="s">
        <v>14</v>
      </c>
      <c r="MQT18" s="5">
        <v>43521</v>
      </c>
      <c r="MQU18" s="2" t="s">
        <v>68</v>
      </c>
      <c r="MQV18" s="7"/>
      <c r="MQW18"/>
      <c r="MQX18"/>
      <c r="MQY18" s="10">
        <v>-1.01</v>
      </c>
      <c r="MQZ18" s="2" t="s">
        <v>65</v>
      </c>
      <c r="MRA18" t="s">
        <v>14</v>
      </c>
      <c r="MRB18" s="5">
        <v>43521</v>
      </c>
      <c r="MRC18" s="2" t="s">
        <v>68</v>
      </c>
      <c r="MRD18" s="7"/>
      <c r="MRE18"/>
      <c r="MRF18"/>
      <c r="MRG18" s="10">
        <v>-1.01</v>
      </c>
      <c r="MRH18" s="2" t="s">
        <v>65</v>
      </c>
      <c r="MRI18" t="s">
        <v>14</v>
      </c>
      <c r="MRJ18" s="5">
        <v>43521</v>
      </c>
      <c r="MRK18" s="2" t="s">
        <v>68</v>
      </c>
      <c r="MRL18" s="7"/>
      <c r="MRM18"/>
      <c r="MRN18"/>
      <c r="MRO18" s="10">
        <v>-1.01</v>
      </c>
      <c r="MRP18" s="2" t="s">
        <v>65</v>
      </c>
      <c r="MRQ18" t="s">
        <v>14</v>
      </c>
      <c r="MRR18" s="5">
        <v>43521</v>
      </c>
      <c r="MRS18" s="2" t="s">
        <v>68</v>
      </c>
      <c r="MRT18" s="7"/>
      <c r="MRU18"/>
      <c r="MRV18"/>
      <c r="MRW18" s="10">
        <v>-1.01</v>
      </c>
      <c r="MRX18" s="2" t="s">
        <v>65</v>
      </c>
      <c r="MRY18" t="s">
        <v>14</v>
      </c>
      <c r="MRZ18" s="5">
        <v>43521</v>
      </c>
      <c r="MSA18" s="2" t="s">
        <v>68</v>
      </c>
      <c r="MSB18" s="7"/>
      <c r="MSC18"/>
      <c r="MSD18"/>
      <c r="MSE18" s="10">
        <v>-1.01</v>
      </c>
      <c r="MSF18" s="2" t="s">
        <v>65</v>
      </c>
      <c r="MSG18" t="s">
        <v>14</v>
      </c>
      <c r="MSH18" s="5">
        <v>43521</v>
      </c>
      <c r="MSI18" s="2" t="s">
        <v>68</v>
      </c>
      <c r="MSJ18" s="7"/>
      <c r="MSK18"/>
      <c r="MSL18"/>
      <c r="MSM18" s="10">
        <v>-1.01</v>
      </c>
      <c r="MSN18" s="2" t="s">
        <v>65</v>
      </c>
      <c r="MSO18" t="s">
        <v>14</v>
      </c>
      <c r="MSP18" s="5">
        <v>43521</v>
      </c>
      <c r="MSQ18" s="2" t="s">
        <v>68</v>
      </c>
      <c r="MSR18" s="7"/>
      <c r="MSS18"/>
      <c r="MST18"/>
      <c r="MSU18" s="10">
        <v>-1.01</v>
      </c>
      <c r="MSV18" s="2" t="s">
        <v>65</v>
      </c>
      <c r="MSW18" t="s">
        <v>14</v>
      </c>
      <c r="MSX18" s="5">
        <v>43521</v>
      </c>
      <c r="MSY18" s="2" t="s">
        <v>68</v>
      </c>
      <c r="MSZ18" s="7"/>
      <c r="MTA18"/>
      <c r="MTB18"/>
      <c r="MTC18" s="10">
        <v>-1.01</v>
      </c>
      <c r="MTD18" s="2" t="s">
        <v>65</v>
      </c>
      <c r="MTE18" t="s">
        <v>14</v>
      </c>
      <c r="MTF18" s="5">
        <v>43521</v>
      </c>
      <c r="MTG18" s="2" t="s">
        <v>68</v>
      </c>
      <c r="MTH18" s="7"/>
      <c r="MTI18"/>
      <c r="MTJ18"/>
      <c r="MTK18" s="10">
        <v>-1.01</v>
      </c>
      <c r="MTL18" s="2" t="s">
        <v>65</v>
      </c>
      <c r="MTM18" t="s">
        <v>14</v>
      </c>
      <c r="MTN18" s="5">
        <v>43521</v>
      </c>
      <c r="MTO18" s="2" t="s">
        <v>68</v>
      </c>
      <c r="MTP18" s="7"/>
      <c r="MTQ18"/>
      <c r="MTR18"/>
      <c r="MTS18" s="10">
        <v>-1.01</v>
      </c>
      <c r="MTT18" s="2" t="s">
        <v>65</v>
      </c>
      <c r="MTU18" t="s">
        <v>14</v>
      </c>
      <c r="MTV18" s="5">
        <v>43521</v>
      </c>
      <c r="MTW18" s="2" t="s">
        <v>68</v>
      </c>
      <c r="MTX18" s="7"/>
      <c r="MTY18"/>
      <c r="MTZ18"/>
      <c r="MUA18" s="10">
        <v>-1.01</v>
      </c>
      <c r="MUB18" s="2" t="s">
        <v>65</v>
      </c>
      <c r="MUC18" t="s">
        <v>14</v>
      </c>
      <c r="MUD18" s="5">
        <v>43521</v>
      </c>
      <c r="MUE18" s="2" t="s">
        <v>68</v>
      </c>
      <c r="MUF18" s="7"/>
      <c r="MUG18"/>
      <c r="MUH18"/>
      <c r="MUI18" s="10">
        <v>-1.01</v>
      </c>
      <c r="MUJ18" s="2" t="s">
        <v>65</v>
      </c>
      <c r="MUK18" t="s">
        <v>14</v>
      </c>
      <c r="MUL18" s="5">
        <v>43521</v>
      </c>
      <c r="MUM18" s="2" t="s">
        <v>68</v>
      </c>
      <c r="MUN18" s="7"/>
      <c r="MUO18"/>
      <c r="MUP18"/>
      <c r="MUQ18" s="10">
        <v>-1.01</v>
      </c>
      <c r="MUR18" s="2" t="s">
        <v>65</v>
      </c>
      <c r="MUS18" t="s">
        <v>14</v>
      </c>
      <c r="MUT18" s="5">
        <v>43521</v>
      </c>
      <c r="MUU18" s="2" t="s">
        <v>68</v>
      </c>
      <c r="MUV18" s="7"/>
      <c r="MUW18"/>
      <c r="MUX18"/>
      <c r="MUY18" s="10">
        <v>-1.01</v>
      </c>
      <c r="MUZ18" s="2" t="s">
        <v>65</v>
      </c>
      <c r="MVA18" t="s">
        <v>14</v>
      </c>
      <c r="MVB18" s="5">
        <v>43521</v>
      </c>
      <c r="MVC18" s="2" t="s">
        <v>68</v>
      </c>
      <c r="MVD18" s="7"/>
      <c r="MVE18"/>
      <c r="MVF18"/>
      <c r="MVG18" s="10">
        <v>-1.01</v>
      </c>
      <c r="MVH18" s="2" t="s">
        <v>65</v>
      </c>
      <c r="MVI18" t="s">
        <v>14</v>
      </c>
      <c r="MVJ18" s="5">
        <v>43521</v>
      </c>
      <c r="MVK18" s="2" t="s">
        <v>68</v>
      </c>
      <c r="MVL18" s="7"/>
      <c r="MVM18"/>
      <c r="MVN18"/>
      <c r="MVO18" s="10">
        <v>-1.01</v>
      </c>
      <c r="MVP18" s="2" t="s">
        <v>65</v>
      </c>
      <c r="MVQ18" t="s">
        <v>14</v>
      </c>
      <c r="MVR18" s="5">
        <v>43521</v>
      </c>
      <c r="MVS18" s="2" t="s">
        <v>68</v>
      </c>
      <c r="MVT18" s="7"/>
      <c r="MVU18"/>
      <c r="MVV18"/>
      <c r="MVW18" s="10">
        <v>-1.01</v>
      </c>
      <c r="MVX18" s="2" t="s">
        <v>65</v>
      </c>
      <c r="MVY18" t="s">
        <v>14</v>
      </c>
      <c r="MVZ18" s="5">
        <v>43521</v>
      </c>
      <c r="MWA18" s="2" t="s">
        <v>68</v>
      </c>
      <c r="MWB18" s="7"/>
      <c r="MWC18"/>
      <c r="MWD18"/>
      <c r="MWE18" s="10">
        <v>-1.01</v>
      </c>
      <c r="MWF18" s="2" t="s">
        <v>65</v>
      </c>
      <c r="MWG18" t="s">
        <v>14</v>
      </c>
      <c r="MWH18" s="5">
        <v>43521</v>
      </c>
      <c r="MWI18" s="2" t="s">
        <v>68</v>
      </c>
      <c r="MWJ18" s="7"/>
      <c r="MWK18"/>
      <c r="MWL18"/>
      <c r="MWM18" s="10">
        <v>-1.01</v>
      </c>
      <c r="MWN18" s="2" t="s">
        <v>65</v>
      </c>
      <c r="MWO18" t="s">
        <v>14</v>
      </c>
      <c r="MWP18" s="5">
        <v>43521</v>
      </c>
      <c r="MWQ18" s="2" t="s">
        <v>68</v>
      </c>
      <c r="MWR18" s="7"/>
      <c r="MWS18"/>
      <c r="MWT18"/>
      <c r="MWU18" s="10">
        <v>-1.01</v>
      </c>
      <c r="MWV18" s="2" t="s">
        <v>65</v>
      </c>
      <c r="MWW18" t="s">
        <v>14</v>
      </c>
      <c r="MWX18" s="5">
        <v>43521</v>
      </c>
      <c r="MWY18" s="2" t="s">
        <v>68</v>
      </c>
      <c r="MWZ18" s="7"/>
      <c r="MXA18"/>
      <c r="MXB18"/>
      <c r="MXC18" s="10">
        <v>-1.01</v>
      </c>
      <c r="MXD18" s="2" t="s">
        <v>65</v>
      </c>
      <c r="MXE18" t="s">
        <v>14</v>
      </c>
      <c r="MXF18" s="5">
        <v>43521</v>
      </c>
      <c r="MXG18" s="2" t="s">
        <v>68</v>
      </c>
      <c r="MXH18" s="7"/>
      <c r="MXI18"/>
      <c r="MXJ18"/>
      <c r="MXK18" s="10">
        <v>-1.01</v>
      </c>
      <c r="MXL18" s="2" t="s">
        <v>65</v>
      </c>
      <c r="MXM18" t="s">
        <v>14</v>
      </c>
      <c r="MXN18" s="5">
        <v>43521</v>
      </c>
      <c r="MXO18" s="2" t="s">
        <v>68</v>
      </c>
      <c r="MXP18" s="7"/>
      <c r="MXQ18"/>
      <c r="MXR18"/>
      <c r="MXS18" s="10">
        <v>-1.01</v>
      </c>
      <c r="MXT18" s="2" t="s">
        <v>65</v>
      </c>
      <c r="MXU18" t="s">
        <v>14</v>
      </c>
      <c r="MXV18" s="5">
        <v>43521</v>
      </c>
      <c r="MXW18" s="2" t="s">
        <v>68</v>
      </c>
      <c r="MXX18" s="7"/>
      <c r="MXY18"/>
      <c r="MXZ18"/>
      <c r="MYA18" s="10">
        <v>-1.01</v>
      </c>
      <c r="MYB18" s="2" t="s">
        <v>65</v>
      </c>
      <c r="MYC18" t="s">
        <v>14</v>
      </c>
      <c r="MYD18" s="5">
        <v>43521</v>
      </c>
      <c r="MYE18" s="2" t="s">
        <v>68</v>
      </c>
      <c r="MYF18" s="7"/>
      <c r="MYG18"/>
      <c r="MYH18"/>
      <c r="MYI18" s="10">
        <v>-1.01</v>
      </c>
      <c r="MYJ18" s="2" t="s">
        <v>65</v>
      </c>
      <c r="MYK18" t="s">
        <v>14</v>
      </c>
      <c r="MYL18" s="5">
        <v>43521</v>
      </c>
      <c r="MYM18" s="2" t="s">
        <v>68</v>
      </c>
      <c r="MYN18" s="7"/>
      <c r="MYO18"/>
      <c r="MYP18"/>
      <c r="MYQ18" s="10">
        <v>-1.01</v>
      </c>
      <c r="MYR18" s="2" t="s">
        <v>65</v>
      </c>
      <c r="MYS18" t="s">
        <v>14</v>
      </c>
      <c r="MYT18" s="5">
        <v>43521</v>
      </c>
      <c r="MYU18" s="2" t="s">
        <v>68</v>
      </c>
      <c r="MYV18" s="7"/>
      <c r="MYW18"/>
      <c r="MYX18"/>
      <c r="MYY18" s="10">
        <v>-1.01</v>
      </c>
      <c r="MYZ18" s="2" t="s">
        <v>65</v>
      </c>
      <c r="MZA18" t="s">
        <v>14</v>
      </c>
      <c r="MZB18" s="5">
        <v>43521</v>
      </c>
      <c r="MZC18" s="2" t="s">
        <v>68</v>
      </c>
      <c r="MZD18" s="7"/>
      <c r="MZE18"/>
      <c r="MZF18"/>
      <c r="MZG18" s="10">
        <v>-1.01</v>
      </c>
      <c r="MZH18" s="2" t="s">
        <v>65</v>
      </c>
      <c r="MZI18" t="s">
        <v>14</v>
      </c>
      <c r="MZJ18" s="5">
        <v>43521</v>
      </c>
      <c r="MZK18" s="2" t="s">
        <v>68</v>
      </c>
      <c r="MZL18" s="7"/>
      <c r="MZM18"/>
      <c r="MZN18"/>
      <c r="MZO18" s="10">
        <v>-1.01</v>
      </c>
      <c r="MZP18" s="2" t="s">
        <v>65</v>
      </c>
      <c r="MZQ18" t="s">
        <v>14</v>
      </c>
      <c r="MZR18" s="5">
        <v>43521</v>
      </c>
      <c r="MZS18" s="2" t="s">
        <v>68</v>
      </c>
      <c r="MZT18" s="7"/>
      <c r="MZU18"/>
      <c r="MZV18"/>
      <c r="MZW18" s="10">
        <v>-1.01</v>
      </c>
      <c r="MZX18" s="2" t="s">
        <v>65</v>
      </c>
      <c r="MZY18" t="s">
        <v>14</v>
      </c>
      <c r="MZZ18" s="5">
        <v>43521</v>
      </c>
      <c r="NAA18" s="2" t="s">
        <v>68</v>
      </c>
      <c r="NAB18" s="7"/>
      <c r="NAC18"/>
      <c r="NAD18"/>
      <c r="NAE18" s="10">
        <v>-1.01</v>
      </c>
      <c r="NAF18" s="2" t="s">
        <v>65</v>
      </c>
      <c r="NAG18" t="s">
        <v>14</v>
      </c>
      <c r="NAH18" s="5">
        <v>43521</v>
      </c>
      <c r="NAI18" s="2" t="s">
        <v>68</v>
      </c>
      <c r="NAJ18" s="7"/>
      <c r="NAK18"/>
      <c r="NAL18"/>
      <c r="NAM18" s="10">
        <v>-1.01</v>
      </c>
      <c r="NAN18" s="2" t="s">
        <v>65</v>
      </c>
      <c r="NAO18" t="s">
        <v>14</v>
      </c>
      <c r="NAP18" s="5">
        <v>43521</v>
      </c>
      <c r="NAQ18" s="2" t="s">
        <v>68</v>
      </c>
      <c r="NAR18" s="7"/>
      <c r="NAS18"/>
      <c r="NAT18"/>
      <c r="NAU18" s="10">
        <v>-1.01</v>
      </c>
      <c r="NAV18" s="2" t="s">
        <v>65</v>
      </c>
      <c r="NAW18" t="s">
        <v>14</v>
      </c>
      <c r="NAX18" s="5">
        <v>43521</v>
      </c>
      <c r="NAY18" s="2" t="s">
        <v>68</v>
      </c>
      <c r="NAZ18" s="7"/>
      <c r="NBA18"/>
      <c r="NBB18"/>
      <c r="NBC18" s="10">
        <v>-1.01</v>
      </c>
      <c r="NBD18" s="2" t="s">
        <v>65</v>
      </c>
      <c r="NBE18" t="s">
        <v>14</v>
      </c>
      <c r="NBF18" s="5">
        <v>43521</v>
      </c>
      <c r="NBG18" s="2" t="s">
        <v>68</v>
      </c>
      <c r="NBH18" s="7"/>
      <c r="NBI18"/>
      <c r="NBJ18"/>
      <c r="NBK18" s="10">
        <v>-1.01</v>
      </c>
      <c r="NBL18" s="2" t="s">
        <v>65</v>
      </c>
      <c r="NBM18" t="s">
        <v>14</v>
      </c>
      <c r="NBN18" s="5">
        <v>43521</v>
      </c>
      <c r="NBO18" s="2" t="s">
        <v>68</v>
      </c>
      <c r="NBP18" s="7"/>
      <c r="NBQ18"/>
      <c r="NBR18"/>
      <c r="NBS18" s="10">
        <v>-1.01</v>
      </c>
      <c r="NBT18" s="2" t="s">
        <v>65</v>
      </c>
      <c r="NBU18" t="s">
        <v>14</v>
      </c>
      <c r="NBV18" s="5">
        <v>43521</v>
      </c>
      <c r="NBW18" s="2" t="s">
        <v>68</v>
      </c>
      <c r="NBX18" s="7"/>
      <c r="NBY18"/>
      <c r="NBZ18"/>
      <c r="NCA18" s="10">
        <v>-1.01</v>
      </c>
      <c r="NCB18" s="2" t="s">
        <v>65</v>
      </c>
      <c r="NCC18" t="s">
        <v>14</v>
      </c>
      <c r="NCD18" s="5">
        <v>43521</v>
      </c>
      <c r="NCE18" s="2" t="s">
        <v>68</v>
      </c>
      <c r="NCF18" s="7"/>
      <c r="NCG18"/>
      <c r="NCH18"/>
      <c r="NCI18" s="10">
        <v>-1.01</v>
      </c>
      <c r="NCJ18" s="2" t="s">
        <v>65</v>
      </c>
      <c r="NCK18" t="s">
        <v>14</v>
      </c>
      <c r="NCL18" s="5">
        <v>43521</v>
      </c>
      <c r="NCM18" s="2" t="s">
        <v>68</v>
      </c>
      <c r="NCN18" s="7"/>
      <c r="NCO18"/>
      <c r="NCP18"/>
      <c r="NCQ18" s="10">
        <v>-1.01</v>
      </c>
      <c r="NCR18" s="2" t="s">
        <v>65</v>
      </c>
      <c r="NCS18" t="s">
        <v>14</v>
      </c>
      <c r="NCT18" s="5">
        <v>43521</v>
      </c>
      <c r="NCU18" s="2" t="s">
        <v>68</v>
      </c>
      <c r="NCV18" s="7"/>
      <c r="NCW18"/>
      <c r="NCX18"/>
      <c r="NCY18" s="10">
        <v>-1.01</v>
      </c>
      <c r="NCZ18" s="2" t="s">
        <v>65</v>
      </c>
      <c r="NDA18" t="s">
        <v>14</v>
      </c>
      <c r="NDB18" s="5">
        <v>43521</v>
      </c>
      <c r="NDC18" s="2" t="s">
        <v>68</v>
      </c>
      <c r="NDD18" s="7"/>
      <c r="NDE18"/>
      <c r="NDF18"/>
      <c r="NDG18" s="10">
        <v>-1.01</v>
      </c>
      <c r="NDH18" s="2" t="s">
        <v>65</v>
      </c>
      <c r="NDI18" t="s">
        <v>14</v>
      </c>
      <c r="NDJ18" s="5">
        <v>43521</v>
      </c>
      <c r="NDK18" s="2" t="s">
        <v>68</v>
      </c>
      <c r="NDL18" s="7"/>
      <c r="NDM18"/>
      <c r="NDN18"/>
      <c r="NDO18" s="10">
        <v>-1.01</v>
      </c>
      <c r="NDP18" s="2" t="s">
        <v>65</v>
      </c>
      <c r="NDQ18" t="s">
        <v>14</v>
      </c>
      <c r="NDR18" s="5">
        <v>43521</v>
      </c>
      <c r="NDS18" s="2" t="s">
        <v>68</v>
      </c>
      <c r="NDT18" s="7"/>
      <c r="NDU18"/>
      <c r="NDV18"/>
      <c r="NDW18" s="10">
        <v>-1.01</v>
      </c>
      <c r="NDX18" s="2" t="s">
        <v>65</v>
      </c>
      <c r="NDY18" t="s">
        <v>14</v>
      </c>
      <c r="NDZ18" s="5">
        <v>43521</v>
      </c>
      <c r="NEA18" s="2" t="s">
        <v>68</v>
      </c>
      <c r="NEB18" s="7"/>
      <c r="NEC18"/>
      <c r="NED18"/>
      <c r="NEE18" s="10">
        <v>-1.01</v>
      </c>
      <c r="NEF18" s="2" t="s">
        <v>65</v>
      </c>
      <c r="NEG18" t="s">
        <v>14</v>
      </c>
      <c r="NEH18" s="5">
        <v>43521</v>
      </c>
      <c r="NEI18" s="2" t="s">
        <v>68</v>
      </c>
      <c r="NEJ18" s="7"/>
      <c r="NEK18"/>
      <c r="NEL18"/>
      <c r="NEM18" s="10">
        <v>-1.01</v>
      </c>
      <c r="NEN18" s="2" t="s">
        <v>65</v>
      </c>
      <c r="NEO18" t="s">
        <v>14</v>
      </c>
      <c r="NEP18" s="5">
        <v>43521</v>
      </c>
      <c r="NEQ18" s="2" t="s">
        <v>68</v>
      </c>
      <c r="NER18" s="7"/>
      <c r="NES18"/>
      <c r="NET18"/>
      <c r="NEU18" s="10">
        <v>-1.01</v>
      </c>
      <c r="NEV18" s="2" t="s">
        <v>65</v>
      </c>
      <c r="NEW18" t="s">
        <v>14</v>
      </c>
      <c r="NEX18" s="5">
        <v>43521</v>
      </c>
      <c r="NEY18" s="2" t="s">
        <v>68</v>
      </c>
      <c r="NEZ18" s="7"/>
      <c r="NFA18"/>
      <c r="NFB18"/>
      <c r="NFC18" s="10">
        <v>-1.01</v>
      </c>
      <c r="NFD18" s="2" t="s">
        <v>65</v>
      </c>
      <c r="NFE18" t="s">
        <v>14</v>
      </c>
      <c r="NFF18" s="5">
        <v>43521</v>
      </c>
      <c r="NFG18" s="2" t="s">
        <v>68</v>
      </c>
      <c r="NFH18" s="7"/>
      <c r="NFI18"/>
      <c r="NFJ18"/>
      <c r="NFK18" s="10">
        <v>-1.01</v>
      </c>
      <c r="NFL18" s="2" t="s">
        <v>65</v>
      </c>
      <c r="NFM18" t="s">
        <v>14</v>
      </c>
      <c r="NFN18" s="5">
        <v>43521</v>
      </c>
      <c r="NFO18" s="2" t="s">
        <v>68</v>
      </c>
      <c r="NFP18" s="7"/>
      <c r="NFQ18"/>
      <c r="NFR18"/>
      <c r="NFS18" s="10">
        <v>-1.01</v>
      </c>
      <c r="NFT18" s="2" t="s">
        <v>65</v>
      </c>
      <c r="NFU18" t="s">
        <v>14</v>
      </c>
      <c r="NFV18" s="5">
        <v>43521</v>
      </c>
      <c r="NFW18" s="2" t="s">
        <v>68</v>
      </c>
      <c r="NFX18" s="7"/>
      <c r="NFY18"/>
      <c r="NFZ18"/>
      <c r="NGA18" s="10">
        <v>-1.01</v>
      </c>
      <c r="NGB18" s="2" t="s">
        <v>65</v>
      </c>
      <c r="NGC18" t="s">
        <v>14</v>
      </c>
      <c r="NGD18" s="5">
        <v>43521</v>
      </c>
      <c r="NGE18" s="2" t="s">
        <v>68</v>
      </c>
      <c r="NGF18" s="7"/>
      <c r="NGG18"/>
      <c r="NGH18"/>
      <c r="NGI18" s="10">
        <v>-1.01</v>
      </c>
      <c r="NGJ18" s="2" t="s">
        <v>65</v>
      </c>
      <c r="NGK18" t="s">
        <v>14</v>
      </c>
      <c r="NGL18" s="5">
        <v>43521</v>
      </c>
      <c r="NGM18" s="2" t="s">
        <v>68</v>
      </c>
      <c r="NGN18" s="7"/>
      <c r="NGO18"/>
      <c r="NGP18"/>
      <c r="NGQ18" s="10">
        <v>-1.01</v>
      </c>
      <c r="NGR18" s="2" t="s">
        <v>65</v>
      </c>
      <c r="NGS18" t="s">
        <v>14</v>
      </c>
      <c r="NGT18" s="5">
        <v>43521</v>
      </c>
      <c r="NGU18" s="2" t="s">
        <v>68</v>
      </c>
      <c r="NGV18" s="7"/>
      <c r="NGW18"/>
      <c r="NGX18"/>
      <c r="NGY18" s="10">
        <v>-1.01</v>
      </c>
      <c r="NGZ18" s="2" t="s">
        <v>65</v>
      </c>
      <c r="NHA18" t="s">
        <v>14</v>
      </c>
      <c r="NHB18" s="5">
        <v>43521</v>
      </c>
      <c r="NHC18" s="2" t="s">
        <v>68</v>
      </c>
      <c r="NHD18" s="7"/>
      <c r="NHE18"/>
      <c r="NHF18"/>
      <c r="NHG18" s="10">
        <v>-1.01</v>
      </c>
      <c r="NHH18" s="2" t="s">
        <v>65</v>
      </c>
      <c r="NHI18" t="s">
        <v>14</v>
      </c>
      <c r="NHJ18" s="5">
        <v>43521</v>
      </c>
      <c r="NHK18" s="2" t="s">
        <v>68</v>
      </c>
      <c r="NHL18" s="7"/>
      <c r="NHM18"/>
      <c r="NHN18"/>
      <c r="NHO18" s="10">
        <v>-1.01</v>
      </c>
      <c r="NHP18" s="2" t="s">
        <v>65</v>
      </c>
      <c r="NHQ18" t="s">
        <v>14</v>
      </c>
      <c r="NHR18" s="5">
        <v>43521</v>
      </c>
      <c r="NHS18" s="2" t="s">
        <v>68</v>
      </c>
      <c r="NHT18" s="7"/>
      <c r="NHU18"/>
      <c r="NHV18"/>
      <c r="NHW18" s="10">
        <v>-1.01</v>
      </c>
      <c r="NHX18" s="2" t="s">
        <v>65</v>
      </c>
      <c r="NHY18" t="s">
        <v>14</v>
      </c>
      <c r="NHZ18" s="5">
        <v>43521</v>
      </c>
      <c r="NIA18" s="2" t="s">
        <v>68</v>
      </c>
      <c r="NIB18" s="7"/>
      <c r="NIC18"/>
      <c r="NID18"/>
      <c r="NIE18" s="10">
        <v>-1.01</v>
      </c>
      <c r="NIF18" s="2" t="s">
        <v>65</v>
      </c>
      <c r="NIG18" t="s">
        <v>14</v>
      </c>
      <c r="NIH18" s="5">
        <v>43521</v>
      </c>
      <c r="NII18" s="2" t="s">
        <v>68</v>
      </c>
      <c r="NIJ18" s="7"/>
      <c r="NIK18"/>
      <c r="NIL18"/>
      <c r="NIM18" s="10">
        <v>-1.01</v>
      </c>
      <c r="NIN18" s="2" t="s">
        <v>65</v>
      </c>
      <c r="NIO18" t="s">
        <v>14</v>
      </c>
      <c r="NIP18" s="5">
        <v>43521</v>
      </c>
      <c r="NIQ18" s="2" t="s">
        <v>68</v>
      </c>
      <c r="NIR18" s="7"/>
      <c r="NIS18"/>
      <c r="NIT18"/>
      <c r="NIU18" s="10">
        <v>-1.01</v>
      </c>
      <c r="NIV18" s="2" t="s">
        <v>65</v>
      </c>
      <c r="NIW18" t="s">
        <v>14</v>
      </c>
      <c r="NIX18" s="5">
        <v>43521</v>
      </c>
      <c r="NIY18" s="2" t="s">
        <v>68</v>
      </c>
      <c r="NIZ18" s="7"/>
      <c r="NJA18"/>
      <c r="NJB18"/>
      <c r="NJC18" s="10">
        <v>-1.01</v>
      </c>
      <c r="NJD18" s="2" t="s">
        <v>65</v>
      </c>
      <c r="NJE18" t="s">
        <v>14</v>
      </c>
      <c r="NJF18" s="5">
        <v>43521</v>
      </c>
      <c r="NJG18" s="2" t="s">
        <v>68</v>
      </c>
      <c r="NJH18" s="7"/>
      <c r="NJI18"/>
      <c r="NJJ18"/>
      <c r="NJK18" s="10">
        <v>-1.01</v>
      </c>
      <c r="NJL18" s="2" t="s">
        <v>65</v>
      </c>
      <c r="NJM18" t="s">
        <v>14</v>
      </c>
      <c r="NJN18" s="5">
        <v>43521</v>
      </c>
      <c r="NJO18" s="2" t="s">
        <v>68</v>
      </c>
      <c r="NJP18" s="7"/>
      <c r="NJQ18"/>
      <c r="NJR18"/>
      <c r="NJS18" s="10">
        <v>-1.01</v>
      </c>
      <c r="NJT18" s="2" t="s">
        <v>65</v>
      </c>
      <c r="NJU18" t="s">
        <v>14</v>
      </c>
      <c r="NJV18" s="5">
        <v>43521</v>
      </c>
      <c r="NJW18" s="2" t="s">
        <v>68</v>
      </c>
      <c r="NJX18" s="7"/>
      <c r="NJY18"/>
      <c r="NJZ18"/>
      <c r="NKA18" s="10">
        <v>-1.01</v>
      </c>
      <c r="NKB18" s="2" t="s">
        <v>65</v>
      </c>
      <c r="NKC18" t="s">
        <v>14</v>
      </c>
      <c r="NKD18" s="5">
        <v>43521</v>
      </c>
      <c r="NKE18" s="2" t="s">
        <v>68</v>
      </c>
      <c r="NKF18" s="7"/>
      <c r="NKG18"/>
      <c r="NKH18"/>
      <c r="NKI18" s="10">
        <v>-1.01</v>
      </c>
      <c r="NKJ18" s="2" t="s">
        <v>65</v>
      </c>
      <c r="NKK18" t="s">
        <v>14</v>
      </c>
      <c r="NKL18" s="5">
        <v>43521</v>
      </c>
      <c r="NKM18" s="2" t="s">
        <v>68</v>
      </c>
      <c r="NKN18" s="7"/>
      <c r="NKO18"/>
      <c r="NKP18"/>
      <c r="NKQ18" s="10">
        <v>-1.01</v>
      </c>
      <c r="NKR18" s="2" t="s">
        <v>65</v>
      </c>
      <c r="NKS18" t="s">
        <v>14</v>
      </c>
      <c r="NKT18" s="5">
        <v>43521</v>
      </c>
      <c r="NKU18" s="2" t="s">
        <v>68</v>
      </c>
      <c r="NKV18" s="7"/>
      <c r="NKW18"/>
      <c r="NKX18"/>
      <c r="NKY18" s="10">
        <v>-1.01</v>
      </c>
      <c r="NKZ18" s="2" t="s">
        <v>65</v>
      </c>
      <c r="NLA18" t="s">
        <v>14</v>
      </c>
      <c r="NLB18" s="5">
        <v>43521</v>
      </c>
      <c r="NLC18" s="2" t="s">
        <v>68</v>
      </c>
      <c r="NLD18" s="7"/>
      <c r="NLE18"/>
      <c r="NLF18"/>
      <c r="NLG18" s="10">
        <v>-1.01</v>
      </c>
      <c r="NLH18" s="2" t="s">
        <v>65</v>
      </c>
      <c r="NLI18" t="s">
        <v>14</v>
      </c>
      <c r="NLJ18" s="5">
        <v>43521</v>
      </c>
      <c r="NLK18" s="2" t="s">
        <v>68</v>
      </c>
      <c r="NLL18" s="7"/>
      <c r="NLM18"/>
      <c r="NLN18"/>
      <c r="NLO18" s="10">
        <v>-1.01</v>
      </c>
      <c r="NLP18" s="2" t="s">
        <v>65</v>
      </c>
      <c r="NLQ18" t="s">
        <v>14</v>
      </c>
      <c r="NLR18" s="5">
        <v>43521</v>
      </c>
      <c r="NLS18" s="2" t="s">
        <v>68</v>
      </c>
      <c r="NLT18" s="7"/>
      <c r="NLU18"/>
      <c r="NLV18"/>
      <c r="NLW18" s="10">
        <v>-1.01</v>
      </c>
      <c r="NLX18" s="2" t="s">
        <v>65</v>
      </c>
      <c r="NLY18" t="s">
        <v>14</v>
      </c>
      <c r="NLZ18" s="5">
        <v>43521</v>
      </c>
      <c r="NMA18" s="2" t="s">
        <v>68</v>
      </c>
      <c r="NMB18" s="7"/>
      <c r="NMC18"/>
      <c r="NMD18"/>
      <c r="NME18" s="10">
        <v>-1.01</v>
      </c>
      <c r="NMF18" s="2" t="s">
        <v>65</v>
      </c>
      <c r="NMG18" t="s">
        <v>14</v>
      </c>
      <c r="NMH18" s="5">
        <v>43521</v>
      </c>
      <c r="NMI18" s="2" t="s">
        <v>68</v>
      </c>
      <c r="NMJ18" s="7"/>
      <c r="NMK18"/>
      <c r="NML18"/>
      <c r="NMM18" s="10">
        <v>-1.01</v>
      </c>
      <c r="NMN18" s="2" t="s">
        <v>65</v>
      </c>
      <c r="NMO18" t="s">
        <v>14</v>
      </c>
      <c r="NMP18" s="5">
        <v>43521</v>
      </c>
      <c r="NMQ18" s="2" t="s">
        <v>68</v>
      </c>
      <c r="NMR18" s="7"/>
      <c r="NMS18"/>
      <c r="NMT18"/>
      <c r="NMU18" s="10">
        <v>-1.01</v>
      </c>
      <c r="NMV18" s="2" t="s">
        <v>65</v>
      </c>
      <c r="NMW18" t="s">
        <v>14</v>
      </c>
      <c r="NMX18" s="5">
        <v>43521</v>
      </c>
      <c r="NMY18" s="2" t="s">
        <v>68</v>
      </c>
      <c r="NMZ18" s="7"/>
      <c r="NNA18"/>
      <c r="NNB18"/>
      <c r="NNC18" s="10">
        <v>-1.01</v>
      </c>
      <c r="NND18" s="2" t="s">
        <v>65</v>
      </c>
      <c r="NNE18" t="s">
        <v>14</v>
      </c>
      <c r="NNF18" s="5">
        <v>43521</v>
      </c>
      <c r="NNG18" s="2" t="s">
        <v>68</v>
      </c>
      <c r="NNH18" s="7"/>
      <c r="NNI18"/>
      <c r="NNJ18"/>
      <c r="NNK18" s="10">
        <v>-1.01</v>
      </c>
      <c r="NNL18" s="2" t="s">
        <v>65</v>
      </c>
      <c r="NNM18" t="s">
        <v>14</v>
      </c>
      <c r="NNN18" s="5">
        <v>43521</v>
      </c>
      <c r="NNO18" s="2" t="s">
        <v>68</v>
      </c>
      <c r="NNP18" s="7"/>
      <c r="NNQ18"/>
      <c r="NNR18"/>
      <c r="NNS18" s="10">
        <v>-1.01</v>
      </c>
      <c r="NNT18" s="2" t="s">
        <v>65</v>
      </c>
      <c r="NNU18" t="s">
        <v>14</v>
      </c>
      <c r="NNV18" s="5">
        <v>43521</v>
      </c>
      <c r="NNW18" s="2" t="s">
        <v>68</v>
      </c>
      <c r="NNX18" s="7"/>
      <c r="NNY18"/>
      <c r="NNZ18"/>
      <c r="NOA18" s="10">
        <v>-1.01</v>
      </c>
      <c r="NOB18" s="2" t="s">
        <v>65</v>
      </c>
      <c r="NOC18" t="s">
        <v>14</v>
      </c>
      <c r="NOD18" s="5">
        <v>43521</v>
      </c>
      <c r="NOE18" s="2" t="s">
        <v>68</v>
      </c>
      <c r="NOF18" s="7"/>
      <c r="NOG18"/>
      <c r="NOH18"/>
      <c r="NOI18" s="10">
        <v>-1.01</v>
      </c>
      <c r="NOJ18" s="2" t="s">
        <v>65</v>
      </c>
      <c r="NOK18" t="s">
        <v>14</v>
      </c>
      <c r="NOL18" s="5">
        <v>43521</v>
      </c>
      <c r="NOM18" s="2" t="s">
        <v>68</v>
      </c>
      <c r="NON18" s="7"/>
      <c r="NOO18"/>
      <c r="NOP18"/>
      <c r="NOQ18" s="10">
        <v>-1.01</v>
      </c>
      <c r="NOR18" s="2" t="s">
        <v>65</v>
      </c>
      <c r="NOS18" t="s">
        <v>14</v>
      </c>
      <c r="NOT18" s="5">
        <v>43521</v>
      </c>
      <c r="NOU18" s="2" t="s">
        <v>68</v>
      </c>
      <c r="NOV18" s="7"/>
      <c r="NOW18"/>
      <c r="NOX18"/>
      <c r="NOY18" s="10">
        <v>-1.01</v>
      </c>
      <c r="NOZ18" s="2" t="s">
        <v>65</v>
      </c>
      <c r="NPA18" t="s">
        <v>14</v>
      </c>
      <c r="NPB18" s="5">
        <v>43521</v>
      </c>
      <c r="NPC18" s="2" t="s">
        <v>68</v>
      </c>
      <c r="NPD18" s="7"/>
      <c r="NPE18"/>
      <c r="NPF18"/>
      <c r="NPG18" s="10">
        <v>-1.01</v>
      </c>
      <c r="NPH18" s="2" t="s">
        <v>65</v>
      </c>
      <c r="NPI18" t="s">
        <v>14</v>
      </c>
      <c r="NPJ18" s="5">
        <v>43521</v>
      </c>
      <c r="NPK18" s="2" t="s">
        <v>68</v>
      </c>
      <c r="NPL18" s="7"/>
      <c r="NPM18"/>
      <c r="NPN18"/>
      <c r="NPO18" s="10">
        <v>-1.01</v>
      </c>
      <c r="NPP18" s="2" t="s">
        <v>65</v>
      </c>
      <c r="NPQ18" t="s">
        <v>14</v>
      </c>
      <c r="NPR18" s="5">
        <v>43521</v>
      </c>
      <c r="NPS18" s="2" t="s">
        <v>68</v>
      </c>
      <c r="NPT18" s="7"/>
      <c r="NPU18"/>
      <c r="NPV18"/>
      <c r="NPW18" s="10">
        <v>-1.01</v>
      </c>
      <c r="NPX18" s="2" t="s">
        <v>65</v>
      </c>
      <c r="NPY18" t="s">
        <v>14</v>
      </c>
      <c r="NPZ18" s="5">
        <v>43521</v>
      </c>
      <c r="NQA18" s="2" t="s">
        <v>68</v>
      </c>
      <c r="NQB18" s="7"/>
      <c r="NQC18"/>
      <c r="NQD18"/>
      <c r="NQE18" s="10">
        <v>-1.01</v>
      </c>
      <c r="NQF18" s="2" t="s">
        <v>65</v>
      </c>
      <c r="NQG18" t="s">
        <v>14</v>
      </c>
      <c r="NQH18" s="5">
        <v>43521</v>
      </c>
      <c r="NQI18" s="2" t="s">
        <v>68</v>
      </c>
      <c r="NQJ18" s="7"/>
      <c r="NQK18"/>
      <c r="NQL18"/>
      <c r="NQM18" s="10">
        <v>-1.01</v>
      </c>
      <c r="NQN18" s="2" t="s">
        <v>65</v>
      </c>
      <c r="NQO18" t="s">
        <v>14</v>
      </c>
      <c r="NQP18" s="5">
        <v>43521</v>
      </c>
      <c r="NQQ18" s="2" t="s">
        <v>68</v>
      </c>
      <c r="NQR18" s="7"/>
      <c r="NQS18"/>
      <c r="NQT18"/>
      <c r="NQU18" s="10">
        <v>-1.01</v>
      </c>
      <c r="NQV18" s="2" t="s">
        <v>65</v>
      </c>
      <c r="NQW18" t="s">
        <v>14</v>
      </c>
      <c r="NQX18" s="5">
        <v>43521</v>
      </c>
      <c r="NQY18" s="2" t="s">
        <v>68</v>
      </c>
      <c r="NQZ18" s="7"/>
      <c r="NRA18"/>
      <c r="NRB18"/>
      <c r="NRC18" s="10">
        <v>-1.01</v>
      </c>
      <c r="NRD18" s="2" t="s">
        <v>65</v>
      </c>
      <c r="NRE18" t="s">
        <v>14</v>
      </c>
      <c r="NRF18" s="5">
        <v>43521</v>
      </c>
      <c r="NRG18" s="2" t="s">
        <v>68</v>
      </c>
      <c r="NRH18" s="7"/>
      <c r="NRI18"/>
      <c r="NRJ18"/>
      <c r="NRK18" s="10">
        <v>-1.01</v>
      </c>
      <c r="NRL18" s="2" t="s">
        <v>65</v>
      </c>
      <c r="NRM18" t="s">
        <v>14</v>
      </c>
      <c r="NRN18" s="5">
        <v>43521</v>
      </c>
      <c r="NRO18" s="2" t="s">
        <v>68</v>
      </c>
      <c r="NRP18" s="7"/>
      <c r="NRQ18"/>
      <c r="NRR18"/>
      <c r="NRS18" s="10">
        <v>-1.01</v>
      </c>
      <c r="NRT18" s="2" t="s">
        <v>65</v>
      </c>
      <c r="NRU18" t="s">
        <v>14</v>
      </c>
      <c r="NRV18" s="5">
        <v>43521</v>
      </c>
      <c r="NRW18" s="2" t="s">
        <v>68</v>
      </c>
      <c r="NRX18" s="7"/>
      <c r="NRY18"/>
      <c r="NRZ18"/>
      <c r="NSA18" s="10">
        <v>-1.01</v>
      </c>
      <c r="NSB18" s="2" t="s">
        <v>65</v>
      </c>
      <c r="NSC18" t="s">
        <v>14</v>
      </c>
      <c r="NSD18" s="5">
        <v>43521</v>
      </c>
      <c r="NSE18" s="2" t="s">
        <v>68</v>
      </c>
      <c r="NSF18" s="7"/>
      <c r="NSG18"/>
      <c r="NSH18"/>
      <c r="NSI18" s="10">
        <v>-1.01</v>
      </c>
      <c r="NSJ18" s="2" t="s">
        <v>65</v>
      </c>
      <c r="NSK18" t="s">
        <v>14</v>
      </c>
      <c r="NSL18" s="5">
        <v>43521</v>
      </c>
      <c r="NSM18" s="2" t="s">
        <v>68</v>
      </c>
      <c r="NSN18" s="7"/>
      <c r="NSO18"/>
      <c r="NSP18"/>
      <c r="NSQ18" s="10">
        <v>-1.01</v>
      </c>
      <c r="NSR18" s="2" t="s">
        <v>65</v>
      </c>
      <c r="NSS18" t="s">
        <v>14</v>
      </c>
      <c r="NST18" s="5">
        <v>43521</v>
      </c>
      <c r="NSU18" s="2" t="s">
        <v>68</v>
      </c>
      <c r="NSV18" s="7"/>
      <c r="NSW18"/>
      <c r="NSX18"/>
      <c r="NSY18" s="10">
        <v>-1.01</v>
      </c>
      <c r="NSZ18" s="2" t="s">
        <v>65</v>
      </c>
      <c r="NTA18" t="s">
        <v>14</v>
      </c>
      <c r="NTB18" s="5">
        <v>43521</v>
      </c>
      <c r="NTC18" s="2" t="s">
        <v>68</v>
      </c>
      <c r="NTD18" s="7"/>
      <c r="NTE18"/>
      <c r="NTF18"/>
      <c r="NTG18" s="10">
        <v>-1.01</v>
      </c>
      <c r="NTH18" s="2" t="s">
        <v>65</v>
      </c>
      <c r="NTI18" t="s">
        <v>14</v>
      </c>
      <c r="NTJ18" s="5">
        <v>43521</v>
      </c>
      <c r="NTK18" s="2" t="s">
        <v>68</v>
      </c>
      <c r="NTL18" s="7"/>
      <c r="NTM18"/>
      <c r="NTN18"/>
      <c r="NTO18" s="10">
        <v>-1.01</v>
      </c>
      <c r="NTP18" s="2" t="s">
        <v>65</v>
      </c>
      <c r="NTQ18" t="s">
        <v>14</v>
      </c>
      <c r="NTR18" s="5">
        <v>43521</v>
      </c>
      <c r="NTS18" s="2" t="s">
        <v>68</v>
      </c>
      <c r="NTT18" s="7"/>
      <c r="NTU18"/>
      <c r="NTV18"/>
      <c r="NTW18" s="10">
        <v>-1.01</v>
      </c>
      <c r="NTX18" s="2" t="s">
        <v>65</v>
      </c>
      <c r="NTY18" t="s">
        <v>14</v>
      </c>
      <c r="NTZ18" s="5">
        <v>43521</v>
      </c>
      <c r="NUA18" s="2" t="s">
        <v>68</v>
      </c>
      <c r="NUB18" s="7"/>
      <c r="NUC18"/>
      <c r="NUD18"/>
      <c r="NUE18" s="10">
        <v>-1.01</v>
      </c>
      <c r="NUF18" s="2" t="s">
        <v>65</v>
      </c>
      <c r="NUG18" t="s">
        <v>14</v>
      </c>
      <c r="NUH18" s="5">
        <v>43521</v>
      </c>
      <c r="NUI18" s="2" t="s">
        <v>68</v>
      </c>
      <c r="NUJ18" s="7"/>
      <c r="NUK18"/>
      <c r="NUL18"/>
      <c r="NUM18" s="10">
        <v>-1.01</v>
      </c>
      <c r="NUN18" s="2" t="s">
        <v>65</v>
      </c>
      <c r="NUO18" t="s">
        <v>14</v>
      </c>
      <c r="NUP18" s="5">
        <v>43521</v>
      </c>
      <c r="NUQ18" s="2" t="s">
        <v>68</v>
      </c>
      <c r="NUR18" s="7"/>
      <c r="NUS18"/>
      <c r="NUT18"/>
      <c r="NUU18" s="10">
        <v>-1.01</v>
      </c>
      <c r="NUV18" s="2" t="s">
        <v>65</v>
      </c>
      <c r="NUW18" t="s">
        <v>14</v>
      </c>
      <c r="NUX18" s="5">
        <v>43521</v>
      </c>
      <c r="NUY18" s="2" t="s">
        <v>68</v>
      </c>
      <c r="NUZ18" s="7"/>
      <c r="NVA18"/>
      <c r="NVB18"/>
      <c r="NVC18" s="10">
        <v>-1.01</v>
      </c>
      <c r="NVD18" s="2" t="s">
        <v>65</v>
      </c>
      <c r="NVE18" t="s">
        <v>14</v>
      </c>
      <c r="NVF18" s="5">
        <v>43521</v>
      </c>
      <c r="NVG18" s="2" t="s">
        <v>68</v>
      </c>
      <c r="NVH18" s="7"/>
      <c r="NVI18"/>
      <c r="NVJ18"/>
      <c r="NVK18" s="10">
        <v>-1.01</v>
      </c>
      <c r="NVL18" s="2" t="s">
        <v>65</v>
      </c>
      <c r="NVM18" t="s">
        <v>14</v>
      </c>
      <c r="NVN18" s="5">
        <v>43521</v>
      </c>
      <c r="NVO18" s="2" t="s">
        <v>68</v>
      </c>
      <c r="NVP18" s="7"/>
      <c r="NVQ18"/>
      <c r="NVR18"/>
      <c r="NVS18" s="10">
        <v>-1.01</v>
      </c>
      <c r="NVT18" s="2" t="s">
        <v>65</v>
      </c>
      <c r="NVU18" t="s">
        <v>14</v>
      </c>
      <c r="NVV18" s="5">
        <v>43521</v>
      </c>
      <c r="NVW18" s="2" t="s">
        <v>68</v>
      </c>
      <c r="NVX18" s="7"/>
      <c r="NVY18"/>
      <c r="NVZ18"/>
      <c r="NWA18" s="10">
        <v>-1.01</v>
      </c>
      <c r="NWB18" s="2" t="s">
        <v>65</v>
      </c>
      <c r="NWC18" t="s">
        <v>14</v>
      </c>
      <c r="NWD18" s="5">
        <v>43521</v>
      </c>
      <c r="NWE18" s="2" t="s">
        <v>68</v>
      </c>
      <c r="NWF18" s="7"/>
      <c r="NWG18"/>
      <c r="NWH18"/>
      <c r="NWI18" s="10">
        <v>-1.01</v>
      </c>
      <c r="NWJ18" s="2" t="s">
        <v>65</v>
      </c>
      <c r="NWK18" t="s">
        <v>14</v>
      </c>
      <c r="NWL18" s="5">
        <v>43521</v>
      </c>
      <c r="NWM18" s="2" t="s">
        <v>68</v>
      </c>
      <c r="NWN18" s="7"/>
      <c r="NWO18"/>
      <c r="NWP18"/>
      <c r="NWQ18" s="10">
        <v>-1.01</v>
      </c>
      <c r="NWR18" s="2" t="s">
        <v>65</v>
      </c>
      <c r="NWS18" t="s">
        <v>14</v>
      </c>
      <c r="NWT18" s="5">
        <v>43521</v>
      </c>
      <c r="NWU18" s="2" t="s">
        <v>68</v>
      </c>
      <c r="NWV18" s="7"/>
      <c r="NWW18"/>
      <c r="NWX18"/>
      <c r="NWY18" s="10">
        <v>-1.01</v>
      </c>
      <c r="NWZ18" s="2" t="s">
        <v>65</v>
      </c>
      <c r="NXA18" t="s">
        <v>14</v>
      </c>
      <c r="NXB18" s="5">
        <v>43521</v>
      </c>
      <c r="NXC18" s="2" t="s">
        <v>68</v>
      </c>
      <c r="NXD18" s="7"/>
      <c r="NXE18"/>
      <c r="NXF18"/>
      <c r="NXG18" s="10">
        <v>-1.01</v>
      </c>
      <c r="NXH18" s="2" t="s">
        <v>65</v>
      </c>
      <c r="NXI18" t="s">
        <v>14</v>
      </c>
      <c r="NXJ18" s="5">
        <v>43521</v>
      </c>
      <c r="NXK18" s="2" t="s">
        <v>68</v>
      </c>
      <c r="NXL18" s="7"/>
      <c r="NXM18"/>
      <c r="NXN18"/>
      <c r="NXO18" s="10">
        <v>-1.01</v>
      </c>
      <c r="NXP18" s="2" t="s">
        <v>65</v>
      </c>
      <c r="NXQ18" t="s">
        <v>14</v>
      </c>
      <c r="NXR18" s="5">
        <v>43521</v>
      </c>
      <c r="NXS18" s="2" t="s">
        <v>68</v>
      </c>
      <c r="NXT18" s="7"/>
      <c r="NXU18"/>
      <c r="NXV18"/>
      <c r="NXW18" s="10">
        <v>-1.01</v>
      </c>
      <c r="NXX18" s="2" t="s">
        <v>65</v>
      </c>
      <c r="NXY18" t="s">
        <v>14</v>
      </c>
      <c r="NXZ18" s="5">
        <v>43521</v>
      </c>
      <c r="NYA18" s="2" t="s">
        <v>68</v>
      </c>
      <c r="NYB18" s="7"/>
      <c r="NYC18"/>
      <c r="NYD18"/>
      <c r="NYE18" s="10">
        <v>-1.01</v>
      </c>
      <c r="NYF18" s="2" t="s">
        <v>65</v>
      </c>
      <c r="NYG18" t="s">
        <v>14</v>
      </c>
      <c r="NYH18" s="5">
        <v>43521</v>
      </c>
      <c r="NYI18" s="2" t="s">
        <v>68</v>
      </c>
      <c r="NYJ18" s="7"/>
      <c r="NYK18"/>
      <c r="NYL18"/>
      <c r="NYM18" s="10">
        <v>-1.01</v>
      </c>
      <c r="NYN18" s="2" t="s">
        <v>65</v>
      </c>
      <c r="NYO18" t="s">
        <v>14</v>
      </c>
      <c r="NYP18" s="5">
        <v>43521</v>
      </c>
      <c r="NYQ18" s="2" t="s">
        <v>68</v>
      </c>
      <c r="NYR18" s="7"/>
      <c r="NYS18"/>
      <c r="NYT18"/>
      <c r="NYU18" s="10">
        <v>-1.01</v>
      </c>
      <c r="NYV18" s="2" t="s">
        <v>65</v>
      </c>
      <c r="NYW18" t="s">
        <v>14</v>
      </c>
      <c r="NYX18" s="5">
        <v>43521</v>
      </c>
      <c r="NYY18" s="2" t="s">
        <v>68</v>
      </c>
      <c r="NYZ18" s="7"/>
      <c r="NZA18"/>
      <c r="NZB18"/>
      <c r="NZC18" s="10">
        <v>-1.01</v>
      </c>
      <c r="NZD18" s="2" t="s">
        <v>65</v>
      </c>
      <c r="NZE18" t="s">
        <v>14</v>
      </c>
      <c r="NZF18" s="5">
        <v>43521</v>
      </c>
      <c r="NZG18" s="2" t="s">
        <v>68</v>
      </c>
      <c r="NZH18" s="7"/>
      <c r="NZI18"/>
      <c r="NZJ18"/>
      <c r="NZK18" s="10">
        <v>-1.01</v>
      </c>
      <c r="NZL18" s="2" t="s">
        <v>65</v>
      </c>
      <c r="NZM18" t="s">
        <v>14</v>
      </c>
      <c r="NZN18" s="5">
        <v>43521</v>
      </c>
      <c r="NZO18" s="2" t="s">
        <v>68</v>
      </c>
      <c r="NZP18" s="7"/>
      <c r="NZQ18"/>
      <c r="NZR18"/>
      <c r="NZS18" s="10">
        <v>-1.01</v>
      </c>
      <c r="NZT18" s="2" t="s">
        <v>65</v>
      </c>
      <c r="NZU18" t="s">
        <v>14</v>
      </c>
      <c r="NZV18" s="5">
        <v>43521</v>
      </c>
      <c r="NZW18" s="2" t="s">
        <v>68</v>
      </c>
      <c r="NZX18" s="7"/>
      <c r="NZY18"/>
      <c r="NZZ18"/>
      <c r="OAA18" s="10">
        <v>-1.01</v>
      </c>
      <c r="OAB18" s="2" t="s">
        <v>65</v>
      </c>
      <c r="OAC18" t="s">
        <v>14</v>
      </c>
      <c r="OAD18" s="5">
        <v>43521</v>
      </c>
      <c r="OAE18" s="2" t="s">
        <v>68</v>
      </c>
      <c r="OAF18" s="7"/>
      <c r="OAG18"/>
      <c r="OAH18"/>
      <c r="OAI18" s="10">
        <v>-1.01</v>
      </c>
      <c r="OAJ18" s="2" t="s">
        <v>65</v>
      </c>
      <c r="OAK18" t="s">
        <v>14</v>
      </c>
      <c r="OAL18" s="5">
        <v>43521</v>
      </c>
      <c r="OAM18" s="2" t="s">
        <v>68</v>
      </c>
      <c r="OAN18" s="7"/>
      <c r="OAO18"/>
      <c r="OAP18"/>
      <c r="OAQ18" s="10">
        <v>-1.01</v>
      </c>
      <c r="OAR18" s="2" t="s">
        <v>65</v>
      </c>
      <c r="OAS18" t="s">
        <v>14</v>
      </c>
      <c r="OAT18" s="5">
        <v>43521</v>
      </c>
      <c r="OAU18" s="2" t="s">
        <v>68</v>
      </c>
      <c r="OAV18" s="7"/>
      <c r="OAW18"/>
      <c r="OAX18"/>
      <c r="OAY18" s="10">
        <v>-1.01</v>
      </c>
      <c r="OAZ18" s="2" t="s">
        <v>65</v>
      </c>
      <c r="OBA18" t="s">
        <v>14</v>
      </c>
      <c r="OBB18" s="5">
        <v>43521</v>
      </c>
      <c r="OBC18" s="2" t="s">
        <v>68</v>
      </c>
      <c r="OBD18" s="7"/>
      <c r="OBE18"/>
      <c r="OBF18"/>
      <c r="OBG18" s="10">
        <v>-1.01</v>
      </c>
      <c r="OBH18" s="2" t="s">
        <v>65</v>
      </c>
      <c r="OBI18" t="s">
        <v>14</v>
      </c>
      <c r="OBJ18" s="5">
        <v>43521</v>
      </c>
      <c r="OBK18" s="2" t="s">
        <v>68</v>
      </c>
      <c r="OBL18" s="7"/>
      <c r="OBM18"/>
      <c r="OBN18"/>
      <c r="OBO18" s="10">
        <v>-1.01</v>
      </c>
      <c r="OBP18" s="2" t="s">
        <v>65</v>
      </c>
      <c r="OBQ18" t="s">
        <v>14</v>
      </c>
      <c r="OBR18" s="5">
        <v>43521</v>
      </c>
      <c r="OBS18" s="2" t="s">
        <v>68</v>
      </c>
      <c r="OBT18" s="7"/>
      <c r="OBU18"/>
      <c r="OBV18"/>
      <c r="OBW18" s="10">
        <v>-1.01</v>
      </c>
      <c r="OBX18" s="2" t="s">
        <v>65</v>
      </c>
      <c r="OBY18" t="s">
        <v>14</v>
      </c>
      <c r="OBZ18" s="5">
        <v>43521</v>
      </c>
      <c r="OCA18" s="2" t="s">
        <v>68</v>
      </c>
      <c r="OCB18" s="7"/>
      <c r="OCC18"/>
      <c r="OCD18"/>
      <c r="OCE18" s="10">
        <v>-1.01</v>
      </c>
      <c r="OCF18" s="2" t="s">
        <v>65</v>
      </c>
      <c r="OCG18" t="s">
        <v>14</v>
      </c>
      <c r="OCH18" s="5">
        <v>43521</v>
      </c>
      <c r="OCI18" s="2" t="s">
        <v>68</v>
      </c>
      <c r="OCJ18" s="7"/>
      <c r="OCK18"/>
      <c r="OCL18"/>
      <c r="OCM18" s="10">
        <v>-1.01</v>
      </c>
      <c r="OCN18" s="2" t="s">
        <v>65</v>
      </c>
      <c r="OCO18" t="s">
        <v>14</v>
      </c>
      <c r="OCP18" s="5">
        <v>43521</v>
      </c>
      <c r="OCQ18" s="2" t="s">
        <v>68</v>
      </c>
      <c r="OCR18" s="7"/>
      <c r="OCS18"/>
      <c r="OCT18"/>
      <c r="OCU18" s="10">
        <v>-1.01</v>
      </c>
      <c r="OCV18" s="2" t="s">
        <v>65</v>
      </c>
      <c r="OCW18" t="s">
        <v>14</v>
      </c>
      <c r="OCX18" s="5">
        <v>43521</v>
      </c>
      <c r="OCY18" s="2" t="s">
        <v>68</v>
      </c>
      <c r="OCZ18" s="7"/>
      <c r="ODA18"/>
      <c r="ODB18"/>
      <c r="ODC18" s="10">
        <v>-1.01</v>
      </c>
      <c r="ODD18" s="2" t="s">
        <v>65</v>
      </c>
      <c r="ODE18" t="s">
        <v>14</v>
      </c>
      <c r="ODF18" s="5">
        <v>43521</v>
      </c>
      <c r="ODG18" s="2" t="s">
        <v>68</v>
      </c>
      <c r="ODH18" s="7"/>
      <c r="ODI18"/>
      <c r="ODJ18"/>
      <c r="ODK18" s="10">
        <v>-1.01</v>
      </c>
      <c r="ODL18" s="2" t="s">
        <v>65</v>
      </c>
      <c r="ODM18" t="s">
        <v>14</v>
      </c>
      <c r="ODN18" s="5">
        <v>43521</v>
      </c>
      <c r="ODO18" s="2" t="s">
        <v>68</v>
      </c>
      <c r="ODP18" s="7"/>
      <c r="ODQ18"/>
      <c r="ODR18"/>
      <c r="ODS18" s="10">
        <v>-1.01</v>
      </c>
      <c r="ODT18" s="2" t="s">
        <v>65</v>
      </c>
      <c r="ODU18" t="s">
        <v>14</v>
      </c>
      <c r="ODV18" s="5">
        <v>43521</v>
      </c>
      <c r="ODW18" s="2" t="s">
        <v>68</v>
      </c>
      <c r="ODX18" s="7"/>
      <c r="ODY18"/>
      <c r="ODZ18"/>
      <c r="OEA18" s="10">
        <v>-1.01</v>
      </c>
      <c r="OEB18" s="2" t="s">
        <v>65</v>
      </c>
      <c r="OEC18" t="s">
        <v>14</v>
      </c>
      <c r="OED18" s="5">
        <v>43521</v>
      </c>
      <c r="OEE18" s="2" t="s">
        <v>68</v>
      </c>
      <c r="OEF18" s="7"/>
      <c r="OEG18"/>
      <c r="OEH18"/>
      <c r="OEI18" s="10">
        <v>-1.01</v>
      </c>
      <c r="OEJ18" s="2" t="s">
        <v>65</v>
      </c>
      <c r="OEK18" t="s">
        <v>14</v>
      </c>
      <c r="OEL18" s="5">
        <v>43521</v>
      </c>
      <c r="OEM18" s="2" t="s">
        <v>68</v>
      </c>
      <c r="OEN18" s="7"/>
      <c r="OEO18"/>
      <c r="OEP18"/>
      <c r="OEQ18" s="10">
        <v>-1.01</v>
      </c>
      <c r="OER18" s="2" t="s">
        <v>65</v>
      </c>
      <c r="OES18" t="s">
        <v>14</v>
      </c>
      <c r="OET18" s="5">
        <v>43521</v>
      </c>
      <c r="OEU18" s="2" t="s">
        <v>68</v>
      </c>
      <c r="OEV18" s="7"/>
      <c r="OEW18"/>
      <c r="OEX18"/>
      <c r="OEY18" s="10">
        <v>-1.01</v>
      </c>
      <c r="OEZ18" s="2" t="s">
        <v>65</v>
      </c>
      <c r="OFA18" t="s">
        <v>14</v>
      </c>
      <c r="OFB18" s="5">
        <v>43521</v>
      </c>
      <c r="OFC18" s="2" t="s">
        <v>68</v>
      </c>
      <c r="OFD18" s="7"/>
      <c r="OFE18"/>
      <c r="OFF18"/>
      <c r="OFG18" s="10">
        <v>-1.01</v>
      </c>
      <c r="OFH18" s="2" t="s">
        <v>65</v>
      </c>
      <c r="OFI18" t="s">
        <v>14</v>
      </c>
      <c r="OFJ18" s="5">
        <v>43521</v>
      </c>
      <c r="OFK18" s="2" t="s">
        <v>68</v>
      </c>
      <c r="OFL18" s="7"/>
      <c r="OFM18"/>
      <c r="OFN18"/>
      <c r="OFO18" s="10">
        <v>-1.01</v>
      </c>
      <c r="OFP18" s="2" t="s">
        <v>65</v>
      </c>
      <c r="OFQ18" t="s">
        <v>14</v>
      </c>
      <c r="OFR18" s="5">
        <v>43521</v>
      </c>
      <c r="OFS18" s="2" t="s">
        <v>68</v>
      </c>
      <c r="OFT18" s="7"/>
      <c r="OFU18"/>
      <c r="OFV18"/>
      <c r="OFW18" s="10">
        <v>-1.01</v>
      </c>
      <c r="OFX18" s="2" t="s">
        <v>65</v>
      </c>
      <c r="OFY18" t="s">
        <v>14</v>
      </c>
      <c r="OFZ18" s="5">
        <v>43521</v>
      </c>
      <c r="OGA18" s="2" t="s">
        <v>68</v>
      </c>
      <c r="OGB18" s="7"/>
      <c r="OGC18"/>
      <c r="OGD18"/>
      <c r="OGE18" s="10">
        <v>-1.01</v>
      </c>
      <c r="OGF18" s="2" t="s">
        <v>65</v>
      </c>
      <c r="OGG18" t="s">
        <v>14</v>
      </c>
      <c r="OGH18" s="5">
        <v>43521</v>
      </c>
      <c r="OGI18" s="2" t="s">
        <v>68</v>
      </c>
      <c r="OGJ18" s="7"/>
      <c r="OGK18"/>
      <c r="OGL18"/>
      <c r="OGM18" s="10">
        <v>-1.01</v>
      </c>
      <c r="OGN18" s="2" t="s">
        <v>65</v>
      </c>
      <c r="OGO18" t="s">
        <v>14</v>
      </c>
      <c r="OGP18" s="5">
        <v>43521</v>
      </c>
      <c r="OGQ18" s="2" t="s">
        <v>68</v>
      </c>
      <c r="OGR18" s="7"/>
      <c r="OGS18"/>
      <c r="OGT18"/>
      <c r="OGU18" s="10">
        <v>-1.01</v>
      </c>
      <c r="OGV18" s="2" t="s">
        <v>65</v>
      </c>
      <c r="OGW18" t="s">
        <v>14</v>
      </c>
      <c r="OGX18" s="5">
        <v>43521</v>
      </c>
      <c r="OGY18" s="2" t="s">
        <v>68</v>
      </c>
      <c r="OGZ18" s="7"/>
      <c r="OHA18"/>
      <c r="OHB18"/>
      <c r="OHC18" s="10">
        <v>-1.01</v>
      </c>
      <c r="OHD18" s="2" t="s">
        <v>65</v>
      </c>
      <c r="OHE18" t="s">
        <v>14</v>
      </c>
      <c r="OHF18" s="5">
        <v>43521</v>
      </c>
      <c r="OHG18" s="2" t="s">
        <v>68</v>
      </c>
      <c r="OHH18" s="7"/>
      <c r="OHI18"/>
      <c r="OHJ18"/>
      <c r="OHK18" s="10">
        <v>-1.01</v>
      </c>
      <c r="OHL18" s="2" t="s">
        <v>65</v>
      </c>
      <c r="OHM18" t="s">
        <v>14</v>
      </c>
      <c r="OHN18" s="5">
        <v>43521</v>
      </c>
      <c r="OHO18" s="2" t="s">
        <v>68</v>
      </c>
      <c r="OHP18" s="7"/>
      <c r="OHQ18"/>
      <c r="OHR18"/>
      <c r="OHS18" s="10">
        <v>-1.01</v>
      </c>
      <c r="OHT18" s="2" t="s">
        <v>65</v>
      </c>
      <c r="OHU18" t="s">
        <v>14</v>
      </c>
      <c r="OHV18" s="5">
        <v>43521</v>
      </c>
      <c r="OHW18" s="2" t="s">
        <v>68</v>
      </c>
      <c r="OHX18" s="7"/>
      <c r="OHY18"/>
      <c r="OHZ18"/>
      <c r="OIA18" s="10">
        <v>-1.01</v>
      </c>
      <c r="OIB18" s="2" t="s">
        <v>65</v>
      </c>
      <c r="OIC18" t="s">
        <v>14</v>
      </c>
      <c r="OID18" s="5">
        <v>43521</v>
      </c>
      <c r="OIE18" s="2" t="s">
        <v>68</v>
      </c>
      <c r="OIF18" s="7"/>
      <c r="OIG18"/>
      <c r="OIH18"/>
      <c r="OII18" s="10">
        <v>-1.01</v>
      </c>
      <c r="OIJ18" s="2" t="s">
        <v>65</v>
      </c>
      <c r="OIK18" t="s">
        <v>14</v>
      </c>
      <c r="OIL18" s="5">
        <v>43521</v>
      </c>
      <c r="OIM18" s="2" t="s">
        <v>68</v>
      </c>
      <c r="OIN18" s="7"/>
      <c r="OIO18"/>
      <c r="OIP18"/>
      <c r="OIQ18" s="10">
        <v>-1.01</v>
      </c>
      <c r="OIR18" s="2" t="s">
        <v>65</v>
      </c>
      <c r="OIS18" t="s">
        <v>14</v>
      </c>
      <c r="OIT18" s="5">
        <v>43521</v>
      </c>
      <c r="OIU18" s="2" t="s">
        <v>68</v>
      </c>
      <c r="OIV18" s="7"/>
      <c r="OIW18"/>
      <c r="OIX18"/>
      <c r="OIY18" s="10">
        <v>-1.01</v>
      </c>
      <c r="OIZ18" s="2" t="s">
        <v>65</v>
      </c>
      <c r="OJA18" t="s">
        <v>14</v>
      </c>
      <c r="OJB18" s="5">
        <v>43521</v>
      </c>
      <c r="OJC18" s="2" t="s">
        <v>68</v>
      </c>
      <c r="OJD18" s="7"/>
      <c r="OJE18"/>
      <c r="OJF18"/>
      <c r="OJG18" s="10">
        <v>-1.01</v>
      </c>
      <c r="OJH18" s="2" t="s">
        <v>65</v>
      </c>
      <c r="OJI18" t="s">
        <v>14</v>
      </c>
      <c r="OJJ18" s="5">
        <v>43521</v>
      </c>
      <c r="OJK18" s="2" t="s">
        <v>68</v>
      </c>
      <c r="OJL18" s="7"/>
      <c r="OJM18"/>
      <c r="OJN18"/>
      <c r="OJO18" s="10">
        <v>-1.01</v>
      </c>
      <c r="OJP18" s="2" t="s">
        <v>65</v>
      </c>
      <c r="OJQ18" t="s">
        <v>14</v>
      </c>
      <c r="OJR18" s="5">
        <v>43521</v>
      </c>
      <c r="OJS18" s="2" t="s">
        <v>68</v>
      </c>
      <c r="OJT18" s="7"/>
      <c r="OJU18"/>
      <c r="OJV18"/>
      <c r="OJW18" s="10">
        <v>-1.01</v>
      </c>
      <c r="OJX18" s="2" t="s">
        <v>65</v>
      </c>
      <c r="OJY18" t="s">
        <v>14</v>
      </c>
      <c r="OJZ18" s="5">
        <v>43521</v>
      </c>
      <c r="OKA18" s="2" t="s">
        <v>68</v>
      </c>
      <c r="OKB18" s="7"/>
      <c r="OKC18"/>
      <c r="OKD18"/>
      <c r="OKE18" s="10">
        <v>-1.01</v>
      </c>
      <c r="OKF18" s="2" t="s">
        <v>65</v>
      </c>
      <c r="OKG18" t="s">
        <v>14</v>
      </c>
      <c r="OKH18" s="5">
        <v>43521</v>
      </c>
      <c r="OKI18" s="2" t="s">
        <v>68</v>
      </c>
      <c r="OKJ18" s="7"/>
      <c r="OKK18"/>
      <c r="OKL18"/>
      <c r="OKM18" s="10">
        <v>-1.01</v>
      </c>
      <c r="OKN18" s="2" t="s">
        <v>65</v>
      </c>
      <c r="OKO18" t="s">
        <v>14</v>
      </c>
      <c r="OKP18" s="5">
        <v>43521</v>
      </c>
      <c r="OKQ18" s="2" t="s">
        <v>68</v>
      </c>
      <c r="OKR18" s="7"/>
      <c r="OKS18"/>
      <c r="OKT18"/>
      <c r="OKU18" s="10">
        <v>-1.01</v>
      </c>
      <c r="OKV18" s="2" t="s">
        <v>65</v>
      </c>
      <c r="OKW18" t="s">
        <v>14</v>
      </c>
      <c r="OKX18" s="5">
        <v>43521</v>
      </c>
      <c r="OKY18" s="2" t="s">
        <v>68</v>
      </c>
      <c r="OKZ18" s="7"/>
      <c r="OLA18"/>
      <c r="OLB18"/>
      <c r="OLC18" s="10">
        <v>-1.01</v>
      </c>
      <c r="OLD18" s="2" t="s">
        <v>65</v>
      </c>
      <c r="OLE18" t="s">
        <v>14</v>
      </c>
      <c r="OLF18" s="5">
        <v>43521</v>
      </c>
      <c r="OLG18" s="2" t="s">
        <v>68</v>
      </c>
      <c r="OLH18" s="7"/>
      <c r="OLI18"/>
      <c r="OLJ18"/>
      <c r="OLK18" s="10">
        <v>-1.01</v>
      </c>
      <c r="OLL18" s="2" t="s">
        <v>65</v>
      </c>
      <c r="OLM18" t="s">
        <v>14</v>
      </c>
      <c r="OLN18" s="5">
        <v>43521</v>
      </c>
      <c r="OLO18" s="2" t="s">
        <v>68</v>
      </c>
      <c r="OLP18" s="7"/>
      <c r="OLQ18"/>
      <c r="OLR18"/>
      <c r="OLS18" s="10">
        <v>-1.01</v>
      </c>
      <c r="OLT18" s="2" t="s">
        <v>65</v>
      </c>
      <c r="OLU18" t="s">
        <v>14</v>
      </c>
      <c r="OLV18" s="5">
        <v>43521</v>
      </c>
      <c r="OLW18" s="2" t="s">
        <v>68</v>
      </c>
      <c r="OLX18" s="7"/>
      <c r="OLY18"/>
      <c r="OLZ18"/>
      <c r="OMA18" s="10">
        <v>-1.01</v>
      </c>
      <c r="OMB18" s="2" t="s">
        <v>65</v>
      </c>
      <c r="OMC18" t="s">
        <v>14</v>
      </c>
      <c r="OMD18" s="5">
        <v>43521</v>
      </c>
      <c r="OME18" s="2" t="s">
        <v>68</v>
      </c>
      <c r="OMF18" s="7"/>
      <c r="OMG18"/>
      <c r="OMH18"/>
      <c r="OMI18" s="10">
        <v>-1.01</v>
      </c>
      <c r="OMJ18" s="2" t="s">
        <v>65</v>
      </c>
      <c r="OMK18" t="s">
        <v>14</v>
      </c>
      <c r="OML18" s="5">
        <v>43521</v>
      </c>
      <c r="OMM18" s="2" t="s">
        <v>68</v>
      </c>
      <c r="OMN18" s="7"/>
      <c r="OMO18"/>
      <c r="OMP18"/>
      <c r="OMQ18" s="10">
        <v>-1.01</v>
      </c>
      <c r="OMR18" s="2" t="s">
        <v>65</v>
      </c>
      <c r="OMS18" t="s">
        <v>14</v>
      </c>
      <c r="OMT18" s="5">
        <v>43521</v>
      </c>
      <c r="OMU18" s="2" t="s">
        <v>68</v>
      </c>
      <c r="OMV18" s="7"/>
      <c r="OMW18"/>
      <c r="OMX18"/>
      <c r="OMY18" s="10">
        <v>-1.01</v>
      </c>
      <c r="OMZ18" s="2" t="s">
        <v>65</v>
      </c>
      <c r="ONA18" t="s">
        <v>14</v>
      </c>
      <c r="ONB18" s="5">
        <v>43521</v>
      </c>
      <c r="ONC18" s="2" t="s">
        <v>68</v>
      </c>
      <c r="OND18" s="7"/>
      <c r="ONE18"/>
      <c r="ONF18"/>
      <c r="ONG18" s="10">
        <v>-1.01</v>
      </c>
      <c r="ONH18" s="2" t="s">
        <v>65</v>
      </c>
      <c r="ONI18" t="s">
        <v>14</v>
      </c>
      <c r="ONJ18" s="5">
        <v>43521</v>
      </c>
      <c r="ONK18" s="2" t="s">
        <v>68</v>
      </c>
      <c r="ONL18" s="7"/>
      <c r="ONM18"/>
      <c r="ONN18"/>
      <c r="ONO18" s="10">
        <v>-1.01</v>
      </c>
      <c r="ONP18" s="2" t="s">
        <v>65</v>
      </c>
      <c r="ONQ18" t="s">
        <v>14</v>
      </c>
      <c r="ONR18" s="5">
        <v>43521</v>
      </c>
      <c r="ONS18" s="2" t="s">
        <v>68</v>
      </c>
      <c r="ONT18" s="7"/>
      <c r="ONU18"/>
      <c r="ONV18"/>
      <c r="ONW18" s="10">
        <v>-1.01</v>
      </c>
      <c r="ONX18" s="2" t="s">
        <v>65</v>
      </c>
      <c r="ONY18" t="s">
        <v>14</v>
      </c>
      <c r="ONZ18" s="5">
        <v>43521</v>
      </c>
      <c r="OOA18" s="2" t="s">
        <v>68</v>
      </c>
      <c r="OOB18" s="7"/>
      <c r="OOC18"/>
      <c r="OOD18"/>
      <c r="OOE18" s="10">
        <v>-1.01</v>
      </c>
      <c r="OOF18" s="2" t="s">
        <v>65</v>
      </c>
      <c r="OOG18" t="s">
        <v>14</v>
      </c>
      <c r="OOH18" s="5">
        <v>43521</v>
      </c>
      <c r="OOI18" s="2" t="s">
        <v>68</v>
      </c>
      <c r="OOJ18" s="7"/>
      <c r="OOK18"/>
      <c r="OOL18"/>
      <c r="OOM18" s="10">
        <v>-1.01</v>
      </c>
      <c r="OON18" s="2" t="s">
        <v>65</v>
      </c>
      <c r="OOO18" t="s">
        <v>14</v>
      </c>
      <c r="OOP18" s="5">
        <v>43521</v>
      </c>
      <c r="OOQ18" s="2" t="s">
        <v>68</v>
      </c>
      <c r="OOR18" s="7"/>
      <c r="OOS18"/>
      <c r="OOT18"/>
      <c r="OOU18" s="10">
        <v>-1.01</v>
      </c>
      <c r="OOV18" s="2" t="s">
        <v>65</v>
      </c>
      <c r="OOW18" t="s">
        <v>14</v>
      </c>
      <c r="OOX18" s="5">
        <v>43521</v>
      </c>
      <c r="OOY18" s="2" t="s">
        <v>68</v>
      </c>
      <c r="OOZ18" s="7"/>
      <c r="OPA18"/>
      <c r="OPB18"/>
      <c r="OPC18" s="10">
        <v>-1.01</v>
      </c>
      <c r="OPD18" s="2" t="s">
        <v>65</v>
      </c>
      <c r="OPE18" t="s">
        <v>14</v>
      </c>
      <c r="OPF18" s="5">
        <v>43521</v>
      </c>
      <c r="OPG18" s="2" t="s">
        <v>68</v>
      </c>
      <c r="OPH18" s="7"/>
      <c r="OPI18"/>
      <c r="OPJ18"/>
      <c r="OPK18" s="10">
        <v>-1.01</v>
      </c>
      <c r="OPL18" s="2" t="s">
        <v>65</v>
      </c>
      <c r="OPM18" t="s">
        <v>14</v>
      </c>
      <c r="OPN18" s="5">
        <v>43521</v>
      </c>
      <c r="OPO18" s="2" t="s">
        <v>68</v>
      </c>
      <c r="OPP18" s="7"/>
      <c r="OPQ18"/>
      <c r="OPR18"/>
      <c r="OPS18" s="10">
        <v>-1.01</v>
      </c>
      <c r="OPT18" s="2" t="s">
        <v>65</v>
      </c>
      <c r="OPU18" t="s">
        <v>14</v>
      </c>
      <c r="OPV18" s="5">
        <v>43521</v>
      </c>
      <c r="OPW18" s="2" t="s">
        <v>68</v>
      </c>
      <c r="OPX18" s="7"/>
      <c r="OPY18"/>
      <c r="OPZ18"/>
      <c r="OQA18" s="10">
        <v>-1.01</v>
      </c>
      <c r="OQB18" s="2" t="s">
        <v>65</v>
      </c>
      <c r="OQC18" t="s">
        <v>14</v>
      </c>
      <c r="OQD18" s="5">
        <v>43521</v>
      </c>
      <c r="OQE18" s="2" t="s">
        <v>68</v>
      </c>
      <c r="OQF18" s="7"/>
      <c r="OQG18"/>
      <c r="OQH18"/>
      <c r="OQI18" s="10">
        <v>-1.01</v>
      </c>
      <c r="OQJ18" s="2" t="s">
        <v>65</v>
      </c>
      <c r="OQK18" t="s">
        <v>14</v>
      </c>
      <c r="OQL18" s="5">
        <v>43521</v>
      </c>
      <c r="OQM18" s="2" t="s">
        <v>68</v>
      </c>
      <c r="OQN18" s="7"/>
      <c r="OQO18"/>
      <c r="OQP18"/>
      <c r="OQQ18" s="10">
        <v>-1.01</v>
      </c>
      <c r="OQR18" s="2" t="s">
        <v>65</v>
      </c>
      <c r="OQS18" t="s">
        <v>14</v>
      </c>
      <c r="OQT18" s="5">
        <v>43521</v>
      </c>
      <c r="OQU18" s="2" t="s">
        <v>68</v>
      </c>
      <c r="OQV18" s="7"/>
      <c r="OQW18"/>
      <c r="OQX18"/>
      <c r="OQY18" s="10">
        <v>-1.01</v>
      </c>
      <c r="OQZ18" s="2" t="s">
        <v>65</v>
      </c>
      <c r="ORA18" t="s">
        <v>14</v>
      </c>
      <c r="ORB18" s="5">
        <v>43521</v>
      </c>
      <c r="ORC18" s="2" t="s">
        <v>68</v>
      </c>
      <c r="ORD18" s="7"/>
      <c r="ORE18"/>
      <c r="ORF18"/>
      <c r="ORG18" s="10">
        <v>-1.01</v>
      </c>
      <c r="ORH18" s="2" t="s">
        <v>65</v>
      </c>
      <c r="ORI18" t="s">
        <v>14</v>
      </c>
      <c r="ORJ18" s="5">
        <v>43521</v>
      </c>
      <c r="ORK18" s="2" t="s">
        <v>68</v>
      </c>
      <c r="ORL18" s="7"/>
      <c r="ORM18"/>
      <c r="ORN18"/>
      <c r="ORO18" s="10">
        <v>-1.01</v>
      </c>
      <c r="ORP18" s="2" t="s">
        <v>65</v>
      </c>
      <c r="ORQ18" t="s">
        <v>14</v>
      </c>
      <c r="ORR18" s="5">
        <v>43521</v>
      </c>
      <c r="ORS18" s="2" t="s">
        <v>68</v>
      </c>
      <c r="ORT18" s="7"/>
      <c r="ORU18"/>
      <c r="ORV18"/>
      <c r="ORW18" s="10">
        <v>-1.01</v>
      </c>
      <c r="ORX18" s="2" t="s">
        <v>65</v>
      </c>
      <c r="ORY18" t="s">
        <v>14</v>
      </c>
      <c r="ORZ18" s="5">
        <v>43521</v>
      </c>
      <c r="OSA18" s="2" t="s">
        <v>68</v>
      </c>
      <c r="OSB18" s="7"/>
      <c r="OSC18"/>
      <c r="OSD18"/>
      <c r="OSE18" s="10">
        <v>-1.01</v>
      </c>
      <c r="OSF18" s="2" t="s">
        <v>65</v>
      </c>
      <c r="OSG18" t="s">
        <v>14</v>
      </c>
      <c r="OSH18" s="5">
        <v>43521</v>
      </c>
      <c r="OSI18" s="2" t="s">
        <v>68</v>
      </c>
      <c r="OSJ18" s="7"/>
      <c r="OSK18"/>
      <c r="OSL18"/>
      <c r="OSM18" s="10">
        <v>-1.01</v>
      </c>
      <c r="OSN18" s="2" t="s">
        <v>65</v>
      </c>
      <c r="OSO18" t="s">
        <v>14</v>
      </c>
      <c r="OSP18" s="5">
        <v>43521</v>
      </c>
      <c r="OSQ18" s="2" t="s">
        <v>68</v>
      </c>
      <c r="OSR18" s="7"/>
      <c r="OSS18"/>
      <c r="OST18"/>
      <c r="OSU18" s="10">
        <v>-1.01</v>
      </c>
      <c r="OSV18" s="2" t="s">
        <v>65</v>
      </c>
      <c r="OSW18" t="s">
        <v>14</v>
      </c>
      <c r="OSX18" s="5">
        <v>43521</v>
      </c>
      <c r="OSY18" s="2" t="s">
        <v>68</v>
      </c>
      <c r="OSZ18" s="7"/>
      <c r="OTA18"/>
      <c r="OTB18"/>
      <c r="OTC18" s="10">
        <v>-1.01</v>
      </c>
      <c r="OTD18" s="2" t="s">
        <v>65</v>
      </c>
      <c r="OTE18" t="s">
        <v>14</v>
      </c>
      <c r="OTF18" s="5">
        <v>43521</v>
      </c>
      <c r="OTG18" s="2" t="s">
        <v>68</v>
      </c>
      <c r="OTH18" s="7"/>
      <c r="OTI18"/>
      <c r="OTJ18"/>
      <c r="OTK18" s="10">
        <v>-1.01</v>
      </c>
      <c r="OTL18" s="2" t="s">
        <v>65</v>
      </c>
      <c r="OTM18" t="s">
        <v>14</v>
      </c>
      <c r="OTN18" s="5">
        <v>43521</v>
      </c>
      <c r="OTO18" s="2" t="s">
        <v>68</v>
      </c>
      <c r="OTP18" s="7"/>
      <c r="OTQ18"/>
      <c r="OTR18"/>
      <c r="OTS18" s="10">
        <v>-1.01</v>
      </c>
      <c r="OTT18" s="2" t="s">
        <v>65</v>
      </c>
      <c r="OTU18" t="s">
        <v>14</v>
      </c>
      <c r="OTV18" s="5">
        <v>43521</v>
      </c>
      <c r="OTW18" s="2" t="s">
        <v>68</v>
      </c>
      <c r="OTX18" s="7"/>
      <c r="OTY18"/>
      <c r="OTZ18"/>
      <c r="OUA18" s="10">
        <v>-1.01</v>
      </c>
      <c r="OUB18" s="2" t="s">
        <v>65</v>
      </c>
      <c r="OUC18" t="s">
        <v>14</v>
      </c>
      <c r="OUD18" s="5">
        <v>43521</v>
      </c>
      <c r="OUE18" s="2" t="s">
        <v>68</v>
      </c>
      <c r="OUF18" s="7"/>
      <c r="OUG18"/>
      <c r="OUH18"/>
      <c r="OUI18" s="10">
        <v>-1.01</v>
      </c>
      <c r="OUJ18" s="2" t="s">
        <v>65</v>
      </c>
      <c r="OUK18" t="s">
        <v>14</v>
      </c>
      <c r="OUL18" s="5">
        <v>43521</v>
      </c>
      <c r="OUM18" s="2" t="s">
        <v>68</v>
      </c>
      <c r="OUN18" s="7"/>
      <c r="OUO18"/>
      <c r="OUP18"/>
      <c r="OUQ18" s="10">
        <v>-1.01</v>
      </c>
      <c r="OUR18" s="2" t="s">
        <v>65</v>
      </c>
      <c r="OUS18" t="s">
        <v>14</v>
      </c>
      <c r="OUT18" s="5">
        <v>43521</v>
      </c>
      <c r="OUU18" s="2" t="s">
        <v>68</v>
      </c>
      <c r="OUV18" s="7"/>
      <c r="OUW18"/>
      <c r="OUX18"/>
      <c r="OUY18" s="10">
        <v>-1.01</v>
      </c>
      <c r="OUZ18" s="2" t="s">
        <v>65</v>
      </c>
      <c r="OVA18" t="s">
        <v>14</v>
      </c>
      <c r="OVB18" s="5">
        <v>43521</v>
      </c>
      <c r="OVC18" s="2" t="s">
        <v>68</v>
      </c>
      <c r="OVD18" s="7"/>
      <c r="OVE18"/>
      <c r="OVF18"/>
      <c r="OVG18" s="10">
        <v>-1.01</v>
      </c>
      <c r="OVH18" s="2" t="s">
        <v>65</v>
      </c>
      <c r="OVI18" t="s">
        <v>14</v>
      </c>
      <c r="OVJ18" s="5">
        <v>43521</v>
      </c>
      <c r="OVK18" s="2" t="s">
        <v>68</v>
      </c>
      <c r="OVL18" s="7"/>
      <c r="OVM18"/>
      <c r="OVN18"/>
      <c r="OVO18" s="10">
        <v>-1.01</v>
      </c>
      <c r="OVP18" s="2" t="s">
        <v>65</v>
      </c>
      <c r="OVQ18" t="s">
        <v>14</v>
      </c>
      <c r="OVR18" s="5">
        <v>43521</v>
      </c>
      <c r="OVS18" s="2" t="s">
        <v>68</v>
      </c>
      <c r="OVT18" s="7"/>
      <c r="OVU18"/>
      <c r="OVV18"/>
      <c r="OVW18" s="10">
        <v>-1.01</v>
      </c>
      <c r="OVX18" s="2" t="s">
        <v>65</v>
      </c>
      <c r="OVY18" t="s">
        <v>14</v>
      </c>
      <c r="OVZ18" s="5">
        <v>43521</v>
      </c>
      <c r="OWA18" s="2" t="s">
        <v>68</v>
      </c>
      <c r="OWB18" s="7"/>
      <c r="OWC18"/>
      <c r="OWD18"/>
      <c r="OWE18" s="10">
        <v>-1.01</v>
      </c>
      <c r="OWF18" s="2" t="s">
        <v>65</v>
      </c>
      <c r="OWG18" t="s">
        <v>14</v>
      </c>
      <c r="OWH18" s="5">
        <v>43521</v>
      </c>
      <c r="OWI18" s="2" t="s">
        <v>68</v>
      </c>
      <c r="OWJ18" s="7"/>
      <c r="OWK18"/>
      <c r="OWL18"/>
      <c r="OWM18" s="10">
        <v>-1.01</v>
      </c>
      <c r="OWN18" s="2" t="s">
        <v>65</v>
      </c>
      <c r="OWO18" t="s">
        <v>14</v>
      </c>
      <c r="OWP18" s="5">
        <v>43521</v>
      </c>
      <c r="OWQ18" s="2" t="s">
        <v>68</v>
      </c>
      <c r="OWR18" s="7"/>
      <c r="OWS18"/>
      <c r="OWT18"/>
      <c r="OWU18" s="10">
        <v>-1.01</v>
      </c>
      <c r="OWV18" s="2" t="s">
        <v>65</v>
      </c>
      <c r="OWW18" t="s">
        <v>14</v>
      </c>
      <c r="OWX18" s="5">
        <v>43521</v>
      </c>
      <c r="OWY18" s="2" t="s">
        <v>68</v>
      </c>
      <c r="OWZ18" s="7"/>
      <c r="OXA18"/>
      <c r="OXB18"/>
      <c r="OXC18" s="10">
        <v>-1.01</v>
      </c>
      <c r="OXD18" s="2" t="s">
        <v>65</v>
      </c>
      <c r="OXE18" t="s">
        <v>14</v>
      </c>
      <c r="OXF18" s="5">
        <v>43521</v>
      </c>
      <c r="OXG18" s="2" t="s">
        <v>68</v>
      </c>
      <c r="OXH18" s="7"/>
      <c r="OXI18"/>
      <c r="OXJ18"/>
      <c r="OXK18" s="10">
        <v>-1.01</v>
      </c>
      <c r="OXL18" s="2" t="s">
        <v>65</v>
      </c>
      <c r="OXM18" t="s">
        <v>14</v>
      </c>
      <c r="OXN18" s="5">
        <v>43521</v>
      </c>
      <c r="OXO18" s="2" t="s">
        <v>68</v>
      </c>
      <c r="OXP18" s="7"/>
      <c r="OXQ18"/>
      <c r="OXR18"/>
      <c r="OXS18" s="10">
        <v>-1.01</v>
      </c>
      <c r="OXT18" s="2" t="s">
        <v>65</v>
      </c>
      <c r="OXU18" t="s">
        <v>14</v>
      </c>
      <c r="OXV18" s="5">
        <v>43521</v>
      </c>
      <c r="OXW18" s="2" t="s">
        <v>68</v>
      </c>
      <c r="OXX18" s="7"/>
      <c r="OXY18"/>
      <c r="OXZ18"/>
      <c r="OYA18" s="10">
        <v>-1.01</v>
      </c>
      <c r="OYB18" s="2" t="s">
        <v>65</v>
      </c>
      <c r="OYC18" t="s">
        <v>14</v>
      </c>
      <c r="OYD18" s="5">
        <v>43521</v>
      </c>
      <c r="OYE18" s="2" t="s">
        <v>68</v>
      </c>
      <c r="OYF18" s="7"/>
      <c r="OYG18"/>
      <c r="OYH18"/>
      <c r="OYI18" s="10">
        <v>-1.01</v>
      </c>
      <c r="OYJ18" s="2" t="s">
        <v>65</v>
      </c>
      <c r="OYK18" t="s">
        <v>14</v>
      </c>
      <c r="OYL18" s="5">
        <v>43521</v>
      </c>
      <c r="OYM18" s="2" t="s">
        <v>68</v>
      </c>
      <c r="OYN18" s="7"/>
      <c r="OYO18"/>
      <c r="OYP18"/>
      <c r="OYQ18" s="10">
        <v>-1.01</v>
      </c>
      <c r="OYR18" s="2" t="s">
        <v>65</v>
      </c>
      <c r="OYS18" t="s">
        <v>14</v>
      </c>
      <c r="OYT18" s="5">
        <v>43521</v>
      </c>
      <c r="OYU18" s="2" t="s">
        <v>68</v>
      </c>
      <c r="OYV18" s="7"/>
      <c r="OYW18"/>
      <c r="OYX18"/>
      <c r="OYY18" s="10">
        <v>-1.01</v>
      </c>
      <c r="OYZ18" s="2" t="s">
        <v>65</v>
      </c>
      <c r="OZA18" t="s">
        <v>14</v>
      </c>
      <c r="OZB18" s="5">
        <v>43521</v>
      </c>
      <c r="OZC18" s="2" t="s">
        <v>68</v>
      </c>
      <c r="OZD18" s="7"/>
      <c r="OZE18"/>
      <c r="OZF18"/>
      <c r="OZG18" s="10">
        <v>-1.01</v>
      </c>
      <c r="OZH18" s="2" t="s">
        <v>65</v>
      </c>
      <c r="OZI18" t="s">
        <v>14</v>
      </c>
      <c r="OZJ18" s="5">
        <v>43521</v>
      </c>
      <c r="OZK18" s="2" t="s">
        <v>68</v>
      </c>
      <c r="OZL18" s="7"/>
      <c r="OZM18"/>
      <c r="OZN18"/>
      <c r="OZO18" s="10">
        <v>-1.01</v>
      </c>
      <c r="OZP18" s="2" t="s">
        <v>65</v>
      </c>
      <c r="OZQ18" t="s">
        <v>14</v>
      </c>
      <c r="OZR18" s="5">
        <v>43521</v>
      </c>
      <c r="OZS18" s="2" t="s">
        <v>68</v>
      </c>
      <c r="OZT18" s="7"/>
      <c r="OZU18"/>
      <c r="OZV18"/>
      <c r="OZW18" s="10">
        <v>-1.01</v>
      </c>
      <c r="OZX18" s="2" t="s">
        <v>65</v>
      </c>
      <c r="OZY18" t="s">
        <v>14</v>
      </c>
      <c r="OZZ18" s="5">
        <v>43521</v>
      </c>
      <c r="PAA18" s="2" t="s">
        <v>68</v>
      </c>
      <c r="PAB18" s="7"/>
      <c r="PAC18"/>
      <c r="PAD18"/>
      <c r="PAE18" s="10">
        <v>-1.01</v>
      </c>
      <c r="PAF18" s="2" t="s">
        <v>65</v>
      </c>
      <c r="PAG18" t="s">
        <v>14</v>
      </c>
      <c r="PAH18" s="5">
        <v>43521</v>
      </c>
      <c r="PAI18" s="2" t="s">
        <v>68</v>
      </c>
      <c r="PAJ18" s="7"/>
      <c r="PAK18"/>
      <c r="PAL18"/>
      <c r="PAM18" s="10">
        <v>-1.01</v>
      </c>
      <c r="PAN18" s="2" t="s">
        <v>65</v>
      </c>
      <c r="PAO18" t="s">
        <v>14</v>
      </c>
      <c r="PAP18" s="5">
        <v>43521</v>
      </c>
      <c r="PAQ18" s="2" t="s">
        <v>68</v>
      </c>
      <c r="PAR18" s="7"/>
      <c r="PAS18"/>
      <c r="PAT18"/>
      <c r="PAU18" s="10">
        <v>-1.01</v>
      </c>
      <c r="PAV18" s="2" t="s">
        <v>65</v>
      </c>
      <c r="PAW18" t="s">
        <v>14</v>
      </c>
      <c r="PAX18" s="5">
        <v>43521</v>
      </c>
      <c r="PAY18" s="2" t="s">
        <v>68</v>
      </c>
      <c r="PAZ18" s="7"/>
      <c r="PBA18"/>
      <c r="PBB18"/>
      <c r="PBC18" s="10">
        <v>-1.01</v>
      </c>
      <c r="PBD18" s="2" t="s">
        <v>65</v>
      </c>
      <c r="PBE18" t="s">
        <v>14</v>
      </c>
      <c r="PBF18" s="5">
        <v>43521</v>
      </c>
      <c r="PBG18" s="2" t="s">
        <v>68</v>
      </c>
      <c r="PBH18" s="7"/>
      <c r="PBI18"/>
      <c r="PBJ18"/>
      <c r="PBK18" s="10">
        <v>-1.01</v>
      </c>
      <c r="PBL18" s="2" t="s">
        <v>65</v>
      </c>
      <c r="PBM18" t="s">
        <v>14</v>
      </c>
      <c r="PBN18" s="5">
        <v>43521</v>
      </c>
      <c r="PBO18" s="2" t="s">
        <v>68</v>
      </c>
      <c r="PBP18" s="7"/>
      <c r="PBQ18"/>
      <c r="PBR18"/>
      <c r="PBS18" s="10">
        <v>-1.01</v>
      </c>
      <c r="PBT18" s="2" t="s">
        <v>65</v>
      </c>
      <c r="PBU18" t="s">
        <v>14</v>
      </c>
      <c r="PBV18" s="5">
        <v>43521</v>
      </c>
      <c r="PBW18" s="2" t="s">
        <v>68</v>
      </c>
      <c r="PBX18" s="7"/>
      <c r="PBY18"/>
      <c r="PBZ18"/>
      <c r="PCA18" s="10">
        <v>-1.01</v>
      </c>
      <c r="PCB18" s="2" t="s">
        <v>65</v>
      </c>
      <c r="PCC18" t="s">
        <v>14</v>
      </c>
      <c r="PCD18" s="5">
        <v>43521</v>
      </c>
      <c r="PCE18" s="2" t="s">
        <v>68</v>
      </c>
      <c r="PCF18" s="7"/>
      <c r="PCG18"/>
      <c r="PCH18"/>
      <c r="PCI18" s="10">
        <v>-1.01</v>
      </c>
      <c r="PCJ18" s="2" t="s">
        <v>65</v>
      </c>
      <c r="PCK18" t="s">
        <v>14</v>
      </c>
      <c r="PCL18" s="5">
        <v>43521</v>
      </c>
      <c r="PCM18" s="2" t="s">
        <v>68</v>
      </c>
      <c r="PCN18" s="7"/>
      <c r="PCO18"/>
      <c r="PCP18"/>
      <c r="PCQ18" s="10">
        <v>-1.01</v>
      </c>
      <c r="PCR18" s="2" t="s">
        <v>65</v>
      </c>
      <c r="PCS18" t="s">
        <v>14</v>
      </c>
      <c r="PCT18" s="5">
        <v>43521</v>
      </c>
      <c r="PCU18" s="2" t="s">
        <v>68</v>
      </c>
      <c r="PCV18" s="7"/>
      <c r="PCW18"/>
      <c r="PCX18"/>
      <c r="PCY18" s="10">
        <v>-1.01</v>
      </c>
      <c r="PCZ18" s="2" t="s">
        <v>65</v>
      </c>
      <c r="PDA18" t="s">
        <v>14</v>
      </c>
      <c r="PDB18" s="5">
        <v>43521</v>
      </c>
      <c r="PDC18" s="2" t="s">
        <v>68</v>
      </c>
      <c r="PDD18" s="7"/>
      <c r="PDE18"/>
      <c r="PDF18"/>
      <c r="PDG18" s="10">
        <v>-1.01</v>
      </c>
      <c r="PDH18" s="2" t="s">
        <v>65</v>
      </c>
      <c r="PDI18" t="s">
        <v>14</v>
      </c>
      <c r="PDJ18" s="5">
        <v>43521</v>
      </c>
      <c r="PDK18" s="2" t="s">
        <v>68</v>
      </c>
      <c r="PDL18" s="7"/>
      <c r="PDM18"/>
      <c r="PDN18"/>
      <c r="PDO18" s="10">
        <v>-1.01</v>
      </c>
      <c r="PDP18" s="2" t="s">
        <v>65</v>
      </c>
      <c r="PDQ18" t="s">
        <v>14</v>
      </c>
      <c r="PDR18" s="5">
        <v>43521</v>
      </c>
      <c r="PDS18" s="2" t="s">
        <v>68</v>
      </c>
      <c r="PDT18" s="7"/>
      <c r="PDU18"/>
      <c r="PDV18"/>
      <c r="PDW18" s="10">
        <v>-1.01</v>
      </c>
      <c r="PDX18" s="2" t="s">
        <v>65</v>
      </c>
      <c r="PDY18" t="s">
        <v>14</v>
      </c>
      <c r="PDZ18" s="5">
        <v>43521</v>
      </c>
      <c r="PEA18" s="2" t="s">
        <v>68</v>
      </c>
      <c r="PEB18" s="7"/>
      <c r="PEC18"/>
      <c r="PED18"/>
      <c r="PEE18" s="10">
        <v>-1.01</v>
      </c>
      <c r="PEF18" s="2" t="s">
        <v>65</v>
      </c>
      <c r="PEG18" t="s">
        <v>14</v>
      </c>
      <c r="PEH18" s="5">
        <v>43521</v>
      </c>
      <c r="PEI18" s="2" t="s">
        <v>68</v>
      </c>
      <c r="PEJ18" s="7"/>
      <c r="PEK18"/>
      <c r="PEL18"/>
      <c r="PEM18" s="10">
        <v>-1.01</v>
      </c>
      <c r="PEN18" s="2" t="s">
        <v>65</v>
      </c>
      <c r="PEO18" t="s">
        <v>14</v>
      </c>
      <c r="PEP18" s="5">
        <v>43521</v>
      </c>
      <c r="PEQ18" s="2" t="s">
        <v>68</v>
      </c>
      <c r="PER18" s="7"/>
      <c r="PES18"/>
      <c r="PET18"/>
      <c r="PEU18" s="10">
        <v>-1.01</v>
      </c>
      <c r="PEV18" s="2" t="s">
        <v>65</v>
      </c>
      <c r="PEW18" t="s">
        <v>14</v>
      </c>
      <c r="PEX18" s="5">
        <v>43521</v>
      </c>
      <c r="PEY18" s="2" t="s">
        <v>68</v>
      </c>
      <c r="PEZ18" s="7"/>
      <c r="PFA18"/>
      <c r="PFB18"/>
      <c r="PFC18" s="10">
        <v>-1.01</v>
      </c>
      <c r="PFD18" s="2" t="s">
        <v>65</v>
      </c>
      <c r="PFE18" t="s">
        <v>14</v>
      </c>
      <c r="PFF18" s="5">
        <v>43521</v>
      </c>
      <c r="PFG18" s="2" t="s">
        <v>68</v>
      </c>
      <c r="PFH18" s="7"/>
      <c r="PFI18"/>
      <c r="PFJ18"/>
      <c r="PFK18" s="10">
        <v>-1.01</v>
      </c>
      <c r="PFL18" s="2" t="s">
        <v>65</v>
      </c>
      <c r="PFM18" t="s">
        <v>14</v>
      </c>
      <c r="PFN18" s="5">
        <v>43521</v>
      </c>
      <c r="PFO18" s="2" t="s">
        <v>68</v>
      </c>
      <c r="PFP18" s="7"/>
      <c r="PFQ18"/>
      <c r="PFR18"/>
      <c r="PFS18" s="10">
        <v>-1.01</v>
      </c>
      <c r="PFT18" s="2" t="s">
        <v>65</v>
      </c>
      <c r="PFU18" t="s">
        <v>14</v>
      </c>
      <c r="PFV18" s="5">
        <v>43521</v>
      </c>
      <c r="PFW18" s="2" t="s">
        <v>68</v>
      </c>
      <c r="PFX18" s="7"/>
      <c r="PFY18"/>
      <c r="PFZ18"/>
      <c r="PGA18" s="10">
        <v>-1.01</v>
      </c>
      <c r="PGB18" s="2" t="s">
        <v>65</v>
      </c>
      <c r="PGC18" t="s">
        <v>14</v>
      </c>
      <c r="PGD18" s="5">
        <v>43521</v>
      </c>
      <c r="PGE18" s="2" t="s">
        <v>68</v>
      </c>
      <c r="PGF18" s="7"/>
      <c r="PGG18"/>
      <c r="PGH18"/>
      <c r="PGI18" s="10">
        <v>-1.01</v>
      </c>
      <c r="PGJ18" s="2" t="s">
        <v>65</v>
      </c>
      <c r="PGK18" t="s">
        <v>14</v>
      </c>
      <c r="PGL18" s="5">
        <v>43521</v>
      </c>
      <c r="PGM18" s="2" t="s">
        <v>68</v>
      </c>
      <c r="PGN18" s="7"/>
      <c r="PGO18"/>
      <c r="PGP18"/>
      <c r="PGQ18" s="10">
        <v>-1.01</v>
      </c>
      <c r="PGR18" s="2" t="s">
        <v>65</v>
      </c>
      <c r="PGS18" t="s">
        <v>14</v>
      </c>
      <c r="PGT18" s="5">
        <v>43521</v>
      </c>
      <c r="PGU18" s="2" t="s">
        <v>68</v>
      </c>
      <c r="PGV18" s="7"/>
      <c r="PGW18"/>
      <c r="PGX18"/>
      <c r="PGY18" s="10">
        <v>-1.01</v>
      </c>
      <c r="PGZ18" s="2" t="s">
        <v>65</v>
      </c>
      <c r="PHA18" t="s">
        <v>14</v>
      </c>
      <c r="PHB18" s="5">
        <v>43521</v>
      </c>
      <c r="PHC18" s="2" t="s">
        <v>68</v>
      </c>
      <c r="PHD18" s="7"/>
      <c r="PHE18"/>
      <c r="PHF18"/>
      <c r="PHG18" s="10">
        <v>-1.01</v>
      </c>
      <c r="PHH18" s="2" t="s">
        <v>65</v>
      </c>
      <c r="PHI18" t="s">
        <v>14</v>
      </c>
      <c r="PHJ18" s="5">
        <v>43521</v>
      </c>
      <c r="PHK18" s="2" t="s">
        <v>68</v>
      </c>
      <c r="PHL18" s="7"/>
      <c r="PHM18"/>
      <c r="PHN18"/>
      <c r="PHO18" s="10">
        <v>-1.01</v>
      </c>
      <c r="PHP18" s="2" t="s">
        <v>65</v>
      </c>
      <c r="PHQ18" t="s">
        <v>14</v>
      </c>
      <c r="PHR18" s="5">
        <v>43521</v>
      </c>
      <c r="PHS18" s="2" t="s">
        <v>68</v>
      </c>
      <c r="PHT18" s="7"/>
      <c r="PHU18"/>
      <c r="PHV18"/>
      <c r="PHW18" s="10">
        <v>-1.01</v>
      </c>
      <c r="PHX18" s="2" t="s">
        <v>65</v>
      </c>
      <c r="PHY18" t="s">
        <v>14</v>
      </c>
      <c r="PHZ18" s="5">
        <v>43521</v>
      </c>
      <c r="PIA18" s="2" t="s">
        <v>68</v>
      </c>
      <c r="PIB18" s="7"/>
      <c r="PIC18"/>
      <c r="PID18"/>
      <c r="PIE18" s="10">
        <v>-1.01</v>
      </c>
      <c r="PIF18" s="2" t="s">
        <v>65</v>
      </c>
      <c r="PIG18" t="s">
        <v>14</v>
      </c>
      <c r="PIH18" s="5">
        <v>43521</v>
      </c>
      <c r="PII18" s="2" t="s">
        <v>68</v>
      </c>
      <c r="PIJ18" s="7"/>
      <c r="PIK18"/>
      <c r="PIL18"/>
      <c r="PIM18" s="10">
        <v>-1.01</v>
      </c>
      <c r="PIN18" s="2" t="s">
        <v>65</v>
      </c>
      <c r="PIO18" t="s">
        <v>14</v>
      </c>
      <c r="PIP18" s="5">
        <v>43521</v>
      </c>
      <c r="PIQ18" s="2" t="s">
        <v>68</v>
      </c>
      <c r="PIR18" s="7"/>
      <c r="PIS18"/>
      <c r="PIT18"/>
      <c r="PIU18" s="10">
        <v>-1.01</v>
      </c>
      <c r="PIV18" s="2" t="s">
        <v>65</v>
      </c>
      <c r="PIW18" t="s">
        <v>14</v>
      </c>
      <c r="PIX18" s="5">
        <v>43521</v>
      </c>
      <c r="PIY18" s="2" t="s">
        <v>68</v>
      </c>
      <c r="PIZ18" s="7"/>
      <c r="PJA18"/>
      <c r="PJB18"/>
      <c r="PJC18" s="10">
        <v>-1.01</v>
      </c>
      <c r="PJD18" s="2" t="s">
        <v>65</v>
      </c>
      <c r="PJE18" t="s">
        <v>14</v>
      </c>
      <c r="PJF18" s="5">
        <v>43521</v>
      </c>
      <c r="PJG18" s="2" t="s">
        <v>68</v>
      </c>
      <c r="PJH18" s="7"/>
      <c r="PJI18"/>
      <c r="PJJ18"/>
      <c r="PJK18" s="10">
        <v>-1.01</v>
      </c>
      <c r="PJL18" s="2" t="s">
        <v>65</v>
      </c>
      <c r="PJM18" t="s">
        <v>14</v>
      </c>
      <c r="PJN18" s="5">
        <v>43521</v>
      </c>
      <c r="PJO18" s="2" t="s">
        <v>68</v>
      </c>
      <c r="PJP18" s="7"/>
      <c r="PJQ18"/>
      <c r="PJR18"/>
      <c r="PJS18" s="10">
        <v>-1.01</v>
      </c>
      <c r="PJT18" s="2" t="s">
        <v>65</v>
      </c>
      <c r="PJU18" t="s">
        <v>14</v>
      </c>
      <c r="PJV18" s="5">
        <v>43521</v>
      </c>
      <c r="PJW18" s="2" t="s">
        <v>68</v>
      </c>
      <c r="PJX18" s="7"/>
      <c r="PJY18"/>
      <c r="PJZ18"/>
      <c r="PKA18" s="10">
        <v>-1.01</v>
      </c>
      <c r="PKB18" s="2" t="s">
        <v>65</v>
      </c>
      <c r="PKC18" t="s">
        <v>14</v>
      </c>
      <c r="PKD18" s="5">
        <v>43521</v>
      </c>
      <c r="PKE18" s="2" t="s">
        <v>68</v>
      </c>
      <c r="PKF18" s="7"/>
      <c r="PKG18"/>
      <c r="PKH18"/>
      <c r="PKI18" s="10">
        <v>-1.01</v>
      </c>
      <c r="PKJ18" s="2" t="s">
        <v>65</v>
      </c>
      <c r="PKK18" t="s">
        <v>14</v>
      </c>
      <c r="PKL18" s="5">
        <v>43521</v>
      </c>
      <c r="PKM18" s="2" t="s">
        <v>68</v>
      </c>
      <c r="PKN18" s="7"/>
      <c r="PKO18"/>
      <c r="PKP18"/>
      <c r="PKQ18" s="10">
        <v>-1.01</v>
      </c>
      <c r="PKR18" s="2" t="s">
        <v>65</v>
      </c>
      <c r="PKS18" t="s">
        <v>14</v>
      </c>
      <c r="PKT18" s="5">
        <v>43521</v>
      </c>
      <c r="PKU18" s="2" t="s">
        <v>68</v>
      </c>
      <c r="PKV18" s="7"/>
      <c r="PKW18"/>
      <c r="PKX18"/>
      <c r="PKY18" s="10">
        <v>-1.01</v>
      </c>
      <c r="PKZ18" s="2" t="s">
        <v>65</v>
      </c>
      <c r="PLA18" t="s">
        <v>14</v>
      </c>
      <c r="PLB18" s="5">
        <v>43521</v>
      </c>
      <c r="PLC18" s="2" t="s">
        <v>68</v>
      </c>
      <c r="PLD18" s="7"/>
      <c r="PLE18"/>
      <c r="PLF18"/>
      <c r="PLG18" s="10">
        <v>-1.01</v>
      </c>
      <c r="PLH18" s="2" t="s">
        <v>65</v>
      </c>
      <c r="PLI18" t="s">
        <v>14</v>
      </c>
      <c r="PLJ18" s="5">
        <v>43521</v>
      </c>
      <c r="PLK18" s="2" t="s">
        <v>68</v>
      </c>
      <c r="PLL18" s="7"/>
      <c r="PLM18"/>
      <c r="PLN18"/>
      <c r="PLO18" s="10">
        <v>-1.01</v>
      </c>
      <c r="PLP18" s="2" t="s">
        <v>65</v>
      </c>
      <c r="PLQ18" t="s">
        <v>14</v>
      </c>
      <c r="PLR18" s="5">
        <v>43521</v>
      </c>
      <c r="PLS18" s="2" t="s">
        <v>68</v>
      </c>
      <c r="PLT18" s="7"/>
      <c r="PLU18"/>
      <c r="PLV18"/>
      <c r="PLW18" s="10">
        <v>-1.01</v>
      </c>
      <c r="PLX18" s="2" t="s">
        <v>65</v>
      </c>
      <c r="PLY18" t="s">
        <v>14</v>
      </c>
      <c r="PLZ18" s="5">
        <v>43521</v>
      </c>
      <c r="PMA18" s="2" t="s">
        <v>68</v>
      </c>
      <c r="PMB18" s="7"/>
      <c r="PMC18"/>
      <c r="PMD18"/>
      <c r="PME18" s="10">
        <v>-1.01</v>
      </c>
      <c r="PMF18" s="2" t="s">
        <v>65</v>
      </c>
      <c r="PMG18" t="s">
        <v>14</v>
      </c>
      <c r="PMH18" s="5">
        <v>43521</v>
      </c>
      <c r="PMI18" s="2" t="s">
        <v>68</v>
      </c>
      <c r="PMJ18" s="7"/>
      <c r="PMK18"/>
      <c r="PML18"/>
      <c r="PMM18" s="10">
        <v>-1.01</v>
      </c>
      <c r="PMN18" s="2" t="s">
        <v>65</v>
      </c>
      <c r="PMO18" t="s">
        <v>14</v>
      </c>
      <c r="PMP18" s="5">
        <v>43521</v>
      </c>
      <c r="PMQ18" s="2" t="s">
        <v>68</v>
      </c>
      <c r="PMR18" s="7"/>
      <c r="PMS18"/>
      <c r="PMT18"/>
      <c r="PMU18" s="10">
        <v>-1.01</v>
      </c>
      <c r="PMV18" s="2" t="s">
        <v>65</v>
      </c>
      <c r="PMW18" t="s">
        <v>14</v>
      </c>
      <c r="PMX18" s="5">
        <v>43521</v>
      </c>
      <c r="PMY18" s="2" t="s">
        <v>68</v>
      </c>
      <c r="PMZ18" s="7"/>
      <c r="PNA18"/>
      <c r="PNB18"/>
      <c r="PNC18" s="10">
        <v>-1.01</v>
      </c>
      <c r="PND18" s="2" t="s">
        <v>65</v>
      </c>
      <c r="PNE18" t="s">
        <v>14</v>
      </c>
      <c r="PNF18" s="5">
        <v>43521</v>
      </c>
      <c r="PNG18" s="2" t="s">
        <v>68</v>
      </c>
      <c r="PNH18" s="7"/>
      <c r="PNI18"/>
      <c r="PNJ18"/>
      <c r="PNK18" s="10">
        <v>-1.01</v>
      </c>
      <c r="PNL18" s="2" t="s">
        <v>65</v>
      </c>
      <c r="PNM18" t="s">
        <v>14</v>
      </c>
      <c r="PNN18" s="5">
        <v>43521</v>
      </c>
      <c r="PNO18" s="2" t="s">
        <v>68</v>
      </c>
      <c r="PNP18" s="7"/>
      <c r="PNQ18"/>
      <c r="PNR18"/>
      <c r="PNS18" s="10">
        <v>-1.01</v>
      </c>
      <c r="PNT18" s="2" t="s">
        <v>65</v>
      </c>
      <c r="PNU18" t="s">
        <v>14</v>
      </c>
      <c r="PNV18" s="5">
        <v>43521</v>
      </c>
      <c r="PNW18" s="2" t="s">
        <v>68</v>
      </c>
      <c r="PNX18" s="7"/>
      <c r="PNY18"/>
      <c r="PNZ18"/>
      <c r="POA18" s="10">
        <v>-1.01</v>
      </c>
      <c r="POB18" s="2" t="s">
        <v>65</v>
      </c>
      <c r="POC18" t="s">
        <v>14</v>
      </c>
      <c r="POD18" s="5">
        <v>43521</v>
      </c>
      <c r="POE18" s="2" t="s">
        <v>68</v>
      </c>
      <c r="POF18" s="7"/>
      <c r="POG18"/>
      <c r="POH18"/>
      <c r="POI18" s="10">
        <v>-1.01</v>
      </c>
      <c r="POJ18" s="2" t="s">
        <v>65</v>
      </c>
      <c r="POK18" t="s">
        <v>14</v>
      </c>
      <c r="POL18" s="5">
        <v>43521</v>
      </c>
      <c r="POM18" s="2" t="s">
        <v>68</v>
      </c>
      <c r="PON18" s="7"/>
      <c r="POO18"/>
      <c r="POP18"/>
      <c r="POQ18" s="10">
        <v>-1.01</v>
      </c>
      <c r="POR18" s="2" t="s">
        <v>65</v>
      </c>
      <c r="POS18" t="s">
        <v>14</v>
      </c>
      <c r="POT18" s="5">
        <v>43521</v>
      </c>
      <c r="POU18" s="2" t="s">
        <v>68</v>
      </c>
      <c r="POV18" s="7"/>
      <c r="POW18"/>
      <c r="POX18"/>
      <c r="POY18" s="10">
        <v>-1.01</v>
      </c>
      <c r="POZ18" s="2" t="s">
        <v>65</v>
      </c>
      <c r="PPA18" t="s">
        <v>14</v>
      </c>
      <c r="PPB18" s="5">
        <v>43521</v>
      </c>
      <c r="PPC18" s="2" t="s">
        <v>68</v>
      </c>
      <c r="PPD18" s="7"/>
      <c r="PPE18"/>
      <c r="PPF18"/>
      <c r="PPG18" s="10">
        <v>-1.01</v>
      </c>
      <c r="PPH18" s="2" t="s">
        <v>65</v>
      </c>
      <c r="PPI18" t="s">
        <v>14</v>
      </c>
      <c r="PPJ18" s="5">
        <v>43521</v>
      </c>
      <c r="PPK18" s="2" t="s">
        <v>68</v>
      </c>
      <c r="PPL18" s="7"/>
      <c r="PPM18"/>
      <c r="PPN18"/>
      <c r="PPO18" s="10">
        <v>-1.01</v>
      </c>
      <c r="PPP18" s="2" t="s">
        <v>65</v>
      </c>
      <c r="PPQ18" t="s">
        <v>14</v>
      </c>
      <c r="PPR18" s="5">
        <v>43521</v>
      </c>
      <c r="PPS18" s="2" t="s">
        <v>68</v>
      </c>
      <c r="PPT18" s="7"/>
      <c r="PPU18"/>
      <c r="PPV18"/>
      <c r="PPW18" s="10">
        <v>-1.01</v>
      </c>
      <c r="PPX18" s="2" t="s">
        <v>65</v>
      </c>
      <c r="PPY18" t="s">
        <v>14</v>
      </c>
      <c r="PPZ18" s="5">
        <v>43521</v>
      </c>
      <c r="PQA18" s="2" t="s">
        <v>68</v>
      </c>
      <c r="PQB18" s="7"/>
      <c r="PQC18"/>
      <c r="PQD18"/>
      <c r="PQE18" s="10">
        <v>-1.01</v>
      </c>
      <c r="PQF18" s="2" t="s">
        <v>65</v>
      </c>
      <c r="PQG18" t="s">
        <v>14</v>
      </c>
      <c r="PQH18" s="5">
        <v>43521</v>
      </c>
      <c r="PQI18" s="2" t="s">
        <v>68</v>
      </c>
      <c r="PQJ18" s="7"/>
      <c r="PQK18"/>
      <c r="PQL18"/>
      <c r="PQM18" s="10">
        <v>-1.01</v>
      </c>
      <c r="PQN18" s="2" t="s">
        <v>65</v>
      </c>
      <c r="PQO18" t="s">
        <v>14</v>
      </c>
      <c r="PQP18" s="5">
        <v>43521</v>
      </c>
      <c r="PQQ18" s="2" t="s">
        <v>68</v>
      </c>
      <c r="PQR18" s="7"/>
      <c r="PQS18"/>
      <c r="PQT18"/>
      <c r="PQU18" s="10">
        <v>-1.01</v>
      </c>
      <c r="PQV18" s="2" t="s">
        <v>65</v>
      </c>
      <c r="PQW18" t="s">
        <v>14</v>
      </c>
      <c r="PQX18" s="5">
        <v>43521</v>
      </c>
      <c r="PQY18" s="2" t="s">
        <v>68</v>
      </c>
      <c r="PQZ18" s="7"/>
      <c r="PRA18"/>
      <c r="PRB18"/>
      <c r="PRC18" s="10">
        <v>-1.01</v>
      </c>
      <c r="PRD18" s="2" t="s">
        <v>65</v>
      </c>
      <c r="PRE18" t="s">
        <v>14</v>
      </c>
      <c r="PRF18" s="5">
        <v>43521</v>
      </c>
      <c r="PRG18" s="2" t="s">
        <v>68</v>
      </c>
      <c r="PRH18" s="7"/>
      <c r="PRI18"/>
      <c r="PRJ18"/>
      <c r="PRK18" s="10">
        <v>-1.01</v>
      </c>
      <c r="PRL18" s="2" t="s">
        <v>65</v>
      </c>
      <c r="PRM18" t="s">
        <v>14</v>
      </c>
      <c r="PRN18" s="5">
        <v>43521</v>
      </c>
      <c r="PRO18" s="2" t="s">
        <v>68</v>
      </c>
      <c r="PRP18" s="7"/>
      <c r="PRQ18"/>
      <c r="PRR18"/>
      <c r="PRS18" s="10">
        <v>-1.01</v>
      </c>
      <c r="PRT18" s="2" t="s">
        <v>65</v>
      </c>
      <c r="PRU18" t="s">
        <v>14</v>
      </c>
      <c r="PRV18" s="5">
        <v>43521</v>
      </c>
      <c r="PRW18" s="2" t="s">
        <v>68</v>
      </c>
      <c r="PRX18" s="7"/>
      <c r="PRY18"/>
      <c r="PRZ18"/>
      <c r="PSA18" s="10">
        <v>-1.01</v>
      </c>
      <c r="PSB18" s="2" t="s">
        <v>65</v>
      </c>
      <c r="PSC18" t="s">
        <v>14</v>
      </c>
      <c r="PSD18" s="5">
        <v>43521</v>
      </c>
      <c r="PSE18" s="2" t="s">
        <v>68</v>
      </c>
      <c r="PSF18" s="7"/>
      <c r="PSG18"/>
      <c r="PSH18"/>
      <c r="PSI18" s="10">
        <v>-1.01</v>
      </c>
      <c r="PSJ18" s="2" t="s">
        <v>65</v>
      </c>
      <c r="PSK18" t="s">
        <v>14</v>
      </c>
      <c r="PSL18" s="5">
        <v>43521</v>
      </c>
      <c r="PSM18" s="2" t="s">
        <v>68</v>
      </c>
      <c r="PSN18" s="7"/>
      <c r="PSO18"/>
      <c r="PSP18"/>
      <c r="PSQ18" s="10">
        <v>-1.01</v>
      </c>
      <c r="PSR18" s="2" t="s">
        <v>65</v>
      </c>
      <c r="PSS18" t="s">
        <v>14</v>
      </c>
      <c r="PST18" s="5">
        <v>43521</v>
      </c>
      <c r="PSU18" s="2" t="s">
        <v>68</v>
      </c>
      <c r="PSV18" s="7"/>
      <c r="PSW18"/>
      <c r="PSX18"/>
      <c r="PSY18" s="10">
        <v>-1.01</v>
      </c>
      <c r="PSZ18" s="2" t="s">
        <v>65</v>
      </c>
      <c r="PTA18" t="s">
        <v>14</v>
      </c>
      <c r="PTB18" s="5">
        <v>43521</v>
      </c>
      <c r="PTC18" s="2" t="s">
        <v>68</v>
      </c>
      <c r="PTD18" s="7"/>
      <c r="PTE18"/>
      <c r="PTF18"/>
      <c r="PTG18" s="10">
        <v>-1.01</v>
      </c>
      <c r="PTH18" s="2" t="s">
        <v>65</v>
      </c>
      <c r="PTI18" t="s">
        <v>14</v>
      </c>
      <c r="PTJ18" s="5">
        <v>43521</v>
      </c>
      <c r="PTK18" s="2" t="s">
        <v>68</v>
      </c>
      <c r="PTL18" s="7"/>
      <c r="PTM18"/>
      <c r="PTN18"/>
      <c r="PTO18" s="10">
        <v>-1.01</v>
      </c>
      <c r="PTP18" s="2" t="s">
        <v>65</v>
      </c>
      <c r="PTQ18" t="s">
        <v>14</v>
      </c>
      <c r="PTR18" s="5">
        <v>43521</v>
      </c>
      <c r="PTS18" s="2" t="s">
        <v>68</v>
      </c>
      <c r="PTT18" s="7"/>
      <c r="PTU18"/>
      <c r="PTV18"/>
      <c r="PTW18" s="10">
        <v>-1.01</v>
      </c>
      <c r="PTX18" s="2" t="s">
        <v>65</v>
      </c>
      <c r="PTY18" t="s">
        <v>14</v>
      </c>
      <c r="PTZ18" s="5">
        <v>43521</v>
      </c>
      <c r="PUA18" s="2" t="s">
        <v>68</v>
      </c>
      <c r="PUB18" s="7"/>
      <c r="PUC18"/>
      <c r="PUD18"/>
      <c r="PUE18" s="10">
        <v>-1.01</v>
      </c>
      <c r="PUF18" s="2" t="s">
        <v>65</v>
      </c>
      <c r="PUG18" t="s">
        <v>14</v>
      </c>
      <c r="PUH18" s="5">
        <v>43521</v>
      </c>
      <c r="PUI18" s="2" t="s">
        <v>68</v>
      </c>
      <c r="PUJ18" s="7"/>
      <c r="PUK18"/>
      <c r="PUL18"/>
      <c r="PUM18" s="10">
        <v>-1.01</v>
      </c>
      <c r="PUN18" s="2" t="s">
        <v>65</v>
      </c>
      <c r="PUO18" t="s">
        <v>14</v>
      </c>
      <c r="PUP18" s="5">
        <v>43521</v>
      </c>
      <c r="PUQ18" s="2" t="s">
        <v>68</v>
      </c>
      <c r="PUR18" s="7"/>
      <c r="PUS18"/>
      <c r="PUT18"/>
      <c r="PUU18" s="10">
        <v>-1.01</v>
      </c>
      <c r="PUV18" s="2" t="s">
        <v>65</v>
      </c>
      <c r="PUW18" t="s">
        <v>14</v>
      </c>
      <c r="PUX18" s="5">
        <v>43521</v>
      </c>
      <c r="PUY18" s="2" t="s">
        <v>68</v>
      </c>
      <c r="PUZ18" s="7"/>
      <c r="PVA18"/>
      <c r="PVB18"/>
      <c r="PVC18" s="10">
        <v>-1.01</v>
      </c>
      <c r="PVD18" s="2" t="s">
        <v>65</v>
      </c>
      <c r="PVE18" t="s">
        <v>14</v>
      </c>
      <c r="PVF18" s="5">
        <v>43521</v>
      </c>
      <c r="PVG18" s="2" t="s">
        <v>68</v>
      </c>
      <c r="PVH18" s="7"/>
      <c r="PVI18"/>
      <c r="PVJ18"/>
      <c r="PVK18" s="10">
        <v>-1.01</v>
      </c>
      <c r="PVL18" s="2" t="s">
        <v>65</v>
      </c>
      <c r="PVM18" t="s">
        <v>14</v>
      </c>
      <c r="PVN18" s="5">
        <v>43521</v>
      </c>
      <c r="PVO18" s="2" t="s">
        <v>68</v>
      </c>
      <c r="PVP18" s="7"/>
      <c r="PVQ18"/>
      <c r="PVR18"/>
      <c r="PVS18" s="10">
        <v>-1.01</v>
      </c>
      <c r="PVT18" s="2" t="s">
        <v>65</v>
      </c>
      <c r="PVU18" t="s">
        <v>14</v>
      </c>
      <c r="PVV18" s="5">
        <v>43521</v>
      </c>
      <c r="PVW18" s="2" t="s">
        <v>68</v>
      </c>
      <c r="PVX18" s="7"/>
      <c r="PVY18"/>
      <c r="PVZ18"/>
      <c r="PWA18" s="10">
        <v>-1.01</v>
      </c>
      <c r="PWB18" s="2" t="s">
        <v>65</v>
      </c>
      <c r="PWC18" t="s">
        <v>14</v>
      </c>
      <c r="PWD18" s="5">
        <v>43521</v>
      </c>
      <c r="PWE18" s="2" t="s">
        <v>68</v>
      </c>
      <c r="PWF18" s="7"/>
      <c r="PWG18"/>
      <c r="PWH18"/>
      <c r="PWI18" s="10">
        <v>-1.01</v>
      </c>
      <c r="PWJ18" s="2" t="s">
        <v>65</v>
      </c>
      <c r="PWK18" t="s">
        <v>14</v>
      </c>
      <c r="PWL18" s="5">
        <v>43521</v>
      </c>
      <c r="PWM18" s="2" t="s">
        <v>68</v>
      </c>
      <c r="PWN18" s="7"/>
      <c r="PWO18"/>
      <c r="PWP18"/>
      <c r="PWQ18" s="10">
        <v>-1.01</v>
      </c>
      <c r="PWR18" s="2" t="s">
        <v>65</v>
      </c>
      <c r="PWS18" t="s">
        <v>14</v>
      </c>
      <c r="PWT18" s="5">
        <v>43521</v>
      </c>
      <c r="PWU18" s="2" t="s">
        <v>68</v>
      </c>
      <c r="PWV18" s="7"/>
      <c r="PWW18"/>
      <c r="PWX18"/>
      <c r="PWY18" s="10">
        <v>-1.01</v>
      </c>
      <c r="PWZ18" s="2" t="s">
        <v>65</v>
      </c>
      <c r="PXA18" t="s">
        <v>14</v>
      </c>
      <c r="PXB18" s="5">
        <v>43521</v>
      </c>
      <c r="PXC18" s="2" t="s">
        <v>68</v>
      </c>
      <c r="PXD18" s="7"/>
      <c r="PXE18"/>
      <c r="PXF18"/>
      <c r="PXG18" s="10">
        <v>-1.01</v>
      </c>
      <c r="PXH18" s="2" t="s">
        <v>65</v>
      </c>
      <c r="PXI18" t="s">
        <v>14</v>
      </c>
      <c r="PXJ18" s="5">
        <v>43521</v>
      </c>
      <c r="PXK18" s="2" t="s">
        <v>68</v>
      </c>
      <c r="PXL18" s="7"/>
      <c r="PXM18"/>
      <c r="PXN18"/>
      <c r="PXO18" s="10">
        <v>-1.01</v>
      </c>
      <c r="PXP18" s="2" t="s">
        <v>65</v>
      </c>
      <c r="PXQ18" t="s">
        <v>14</v>
      </c>
      <c r="PXR18" s="5">
        <v>43521</v>
      </c>
      <c r="PXS18" s="2" t="s">
        <v>68</v>
      </c>
      <c r="PXT18" s="7"/>
      <c r="PXU18"/>
      <c r="PXV18"/>
      <c r="PXW18" s="10">
        <v>-1.01</v>
      </c>
      <c r="PXX18" s="2" t="s">
        <v>65</v>
      </c>
      <c r="PXY18" t="s">
        <v>14</v>
      </c>
      <c r="PXZ18" s="5">
        <v>43521</v>
      </c>
      <c r="PYA18" s="2" t="s">
        <v>68</v>
      </c>
      <c r="PYB18" s="7"/>
      <c r="PYC18"/>
      <c r="PYD18"/>
      <c r="PYE18" s="10">
        <v>-1.01</v>
      </c>
      <c r="PYF18" s="2" t="s">
        <v>65</v>
      </c>
      <c r="PYG18" t="s">
        <v>14</v>
      </c>
      <c r="PYH18" s="5">
        <v>43521</v>
      </c>
      <c r="PYI18" s="2" t="s">
        <v>68</v>
      </c>
      <c r="PYJ18" s="7"/>
      <c r="PYK18"/>
      <c r="PYL18"/>
      <c r="PYM18" s="10">
        <v>-1.01</v>
      </c>
      <c r="PYN18" s="2" t="s">
        <v>65</v>
      </c>
      <c r="PYO18" t="s">
        <v>14</v>
      </c>
      <c r="PYP18" s="5">
        <v>43521</v>
      </c>
      <c r="PYQ18" s="2" t="s">
        <v>68</v>
      </c>
      <c r="PYR18" s="7"/>
      <c r="PYS18"/>
      <c r="PYT18"/>
      <c r="PYU18" s="10">
        <v>-1.01</v>
      </c>
      <c r="PYV18" s="2" t="s">
        <v>65</v>
      </c>
      <c r="PYW18" t="s">
        <v>14</v>
      </c>
      <c r="PYX18" s="5">
        <v>43521</v>
      </c>
      <c r="PYY18" s="2" t="s">
        <v>68</v>
      </c>
      <c r="PYZ18" s="7"/>
      <c r="PZA18"/>
      <c r="PZB18"/>
      <c r="PZC18" s="10">
        <v>-1.01</v>
      </c>
      <c r="PZD18" s="2" t="s">
        <v>65</v>
      </c>
      <c r="PZE18" t="s">
        <v>14</v>
      </c>
      <c r="PZF18" s="5">
        <v>43521</v>
      </c>
      <c r="PZG18" s="2" t="s">
        <v>68</v>
      </c>
      <c r="PZH18" s="7"/>
      <c r="PZI18"/>
      <c r="PZJ18"/>
      <c r="PZK18" s="10">
        <v>-1.01</v>
      </c>
      <c r="PZL18" s="2" t="s">
        <v>65</v>
      </c>
      <c r="PZM18" t="s">
        <v>14</v>
      </c>
      <c r="PZN18" s="5">
        <v>43521</v>
      </c>
      <c r="PZO18" s="2" t="s">
        <v>68</v>
      </c>
      <c r="PZP18" s="7"/>
      <c r="PZQ18"/>
      <c r="PZR18"/>
      <c r="PZS18" s="10">
        <v>-1.01</v>
      </c>
      <c r="PZT18" s="2" t="s">
        <v>65</v>
      </c>
      <c r="PZU18" t="s">
        <v>14</v>
      </c>
      <c r="PZV18" s="5">
        <v>43521</v>
      </c>
      <c r="PZW18" s="2" t="s">
        <v>68</v>
      </c>
      <c r="PZX18" s="7"/>
      <c r="PZY18"/>
      <c r="PZZ18"/>
      <c r="QAA18" s="10">
        <v>-1.01</v>
      </c>
      <c r="QAB18" s="2" t="s">
        <v>65</v>
      </c>
      <c r="QAC18" t="s">
        <v>14</v>
      </c>
      <c r="QAD18" s="5">
        <v>43521</v>
      </c>
      <c r="QAE18" s="2" t="s">
        <v>68</v>
      </c>
      <c r="QAF18" s="7"/>
      <c r="QAG18"/>
      <c r="QAH18"/>
      <c r="QAI18" s="10">
        <v>-1.01</v>
      </c>
      <c r="QAJ18" s="2" t="s">
        <v>65</v>
      </c>
      <c r="QAK18" t="s">
        <v>14</v>
      </c>
      <c r="QAL18" s="5">
        <v>43521</v>
      </c>
      <c r="QAM18" s="2" t="s">
        <v>68</v>
      </c>
      <c r="QAN18" s="7"/>
      <c r="QAO18"/>
      <c r="QAP18"/>
      <c r="QAQ18" s="10">
        <v>-1.01</v>
      </c>
      <c r="QAR18" s="2" t="s">
        <v>65</v>
      </c>
      <c r="QAS18" t="s">
        <v>14</v>
      </c>
      <c r="QAT18" s="5">
        <v>43521</v>
      </c>
      <c r="QAU18" s="2" t="s">
        <v>68</v>
      </c>
      <c r="QAV18" s="7"/>
      <c r="QAW18"/>
      <c r="QAX18"/>
      <c r="QAY18" s="10">
        <v>-1.01</v>
      </c>
      <c r="QAZ18" s="2" t="s">
        <v>65</v>
      </c>
      <c r="QBA18" t="s">
        <v>14</v>
      </c>
      <c r="QBB18" s="5">
        <v>43521</v>
      </c>
      <c r="QBC18" s="2" t="s">
        <v>68</v>
      </c>
      <c r="QBD18" s="7"/>
      <c r="QBE18"/>
      <c r="QBF18"/>
      <c r="QBG18" s="10">
        <v>-1.01</v>
      </c>
      <c r="QBH18" s="2" t="s">
        <v>65</v>
      </c>
      <c r="QBI18" t="s">
        <v>14</v>
      </c>
      <c r="QBJ18" s="5">
        <v>43521</v>
      </c>
      <c r="QBK18" s="2" t="s">
        <v>68</v>
      </c>
      <c r="QBL18" s="7"/>
      <c r="QBM18"/>
      <c r="QBN18"/>
      <c r="QBO18" s="10">
        <v>-1.01</v>
      </c>
      <c r="QBP18" s="2" t="s">
        <v>65</v>
      </c>
      <c r="QBQ18" t="s">
        <v>14</v>
      </c>
      <c r="QBR18" s="5">
        <v>43521</v>
      </c>
      <c r="QBS18" s="2" t="s">
        <v>68</v>
      </c>
      <c r="QBT18" s="7"/>
      <c r="QBU18"/>
      <c r="QBV18"/>
      <c r="QBW18" s="10">
        <v>-1.01</v>
      </c>
      <c r="QBX18" s="2" t="s">
        <v>65</v>
      </c>
      <c r="QBY18" t="s">
        <v>14</v>
      </c>
      <c r="QBZ18" s="5">
        <v>43521</v>
      </c>
      <c r="QCA18" s="2" t="s">
        <v>68</v>
      </c>
      <c r="QCB18" s="7"/>
      <c r="QCC18"/>
      <c r="QCD18"/>
      <c r="QCE18" s="10">
        <v>-1.01</v>
      </c>
      <c r="QCF18" s="2" t="s">
        <v>65</v>
      </c>
      <c r="QCG18" t="s">
        <v>14</v>
      </c>
      <c r="QCH18" s="5">
        <v>43521</v>
      </c>
      <c r="QCI18" s="2" t="s">
        <v>68</v>
      </c>
      <c r="QCJ18" s="7"/>
      <c r="QCK18"/>
      <c r="QCL18"/>
      <c r="QCM18" s="10">
        <v>-1.01</v>
      </c>
      <c r="QCN18" s="2" t="s">
        <v>65</v>
      </c>
      <c r="QCO18" t="s">
        <v>14</v>
      </c>
      <c r="QCP18" s="5">
        <v>43521</v>
      </c>
      <c r="QCQ18" s="2" t="s">
        <v>68</v>
      </c>
      <c r="QCR18" s="7"/>
      <c r="QCS18"/>
      <c r="QCT18"/>
      <c r="QCU18" s="10">
        <v>-1.01</v>
      </c>
      <c r="QCV18" s="2" t="s">
        <v>65</v>
      </c>
      <c r="QCW18" t="s">
        <v>14</v>
      </c>
      <c r="QCX18" s="5">
        <v>43521</v>
      </c>
      <c r="QCY18" s="2" t="s">
        <v>68</v>
      </c>
      <c r="QCZ18" s="7"/>
      <c r="QDA18"/>
      <c r="QDB18"/>
      <c r="QDC18" s="10">
        <v>-1.01</v>
      </c>
      <c r="QDD18" s="2" t="s">
        <v>65</v>
      </c>
      <c r="QDE18" t="s">
        <v>14</v>
      </c>
      <c r="QDF18" s="5">
        <v>43521</v>
      </c>
      <c r="QDG18" s="2" t="s">
        <v>68</v>
      </c>
      <c r="QDH18" s="7"/>
      <c r="QDI18"/>
      <c r="QDJ18"/>
      <c r="QDK18" s="10">
        <v>-1.01</v>
      </c>
      <c r="QDL18" s="2" t="s">
        <v>65</v>
      </c>
      <c r="QDM18" t="s">
        <v>14</v>
      </c>
      <c r="QDN18" s="5">
        <v>43521</v>
      </c>
      <c r="QDO18" s="2" t="s">
        <v>68</v>
      </c>
      <c r="QDP18" s="7"/>
      <c r="QDQ18"/>
      <c r="QDR18"/>
      <c r="QDS18" s="10">
        <v>-1.01</v>
      </c>
      <c r="QDT18" s="2" t="s">
        <v>65</v>
      </c>
      <c r="QDU18" t="s">
        <v>14</v>
      </c>
      <c r="QDV18" s="5">
        <v>43521</v>
      </c>
      <c r="QDW18" s="2" t="s">
        <v>68</v>
      </c>
      <c r="QDX18" s="7"/>
      <c r="QDY18"/>
      <c r="QDZ18"/>
      <c r="QEA18" s="10">
        <v>-1.01</v>
      </c>
      <c r="QEB18" s="2" t="s">
        <v>65</v>
      </c>
      <c r="QEC18" t="s">
        <v>14</v>
      </c>
      <c r="QED18" s="5">
        <v>43521</v>
      </c>
      <c r="QEE18" s="2" t="s">
        <v>68</v>
      </c>
      <c r="QEF18" s="7"/>
      <c r="QEG18"/>
      <c r="QEH18"/>
      <c r="QEI18" s="10">
        <v>-1.01</v>
      </c>
      <c r="QEJ18" s="2" t="s">
        <v>65</v>
      </c>
      <c r="QEK18" t="s">
        <v>14</v>
      </c>
      <c r="QEL18" s="5">
        <v>43521</v>
      </c>
      <c r="QEM18" s="2" t="s">
        <v>68</v>
      </c>
      <c r="QEN18" s="7"/>
      <c r="QEO18"/>
      <c r="QEP18"/>
      <c r="QEQ18" s="10">
        <v>-1.01</v>
      </c>
      <c r="QER18" s="2" t="s">
        <v>65</v>
      </c>
      <c r="QES18" t="s">
        <v>14</v>
      </c>
      <c r="QET18" s="5">
        <v>43521</v>
      </c>
      <c r="QEU18" s="2" t="s">
        <v>68</v>
      </c>
      <c r="QEV18" s="7"/>
      <c r="QEW18"/>
      <c r="QEX18"/>
      <c r="QEY18" s="10">
        <v>-1.01</v>
      </c>
      <c r="QEZ18" s="2" t="s">
        <v>65</v>
      </c>
      <c r="QFA18" t="s">
        <v>14</v>
      </c>
      <c r="QFB18" s="5">
        <v>43521</v>
      </c>
      <c r="QFC18" s="2" t="s">
        <v>68</v>
      </c>
      <c r="QFD18" s="7"/>
      <c r="QFE18"/>
      <c r="QFF18"/>
      <c r="QFG18" s="10">
        <v>-1.01</v>
      </c>
      <c r="QFH18" s="2" t="s">
        <v>65</v>
      </c>
      <c r="QFI18" t="s">
        <v>14</v>
      </c>
      <c r="QFJ18" s="5">
        <v>43521</v>
      </c>
      <c r="QFK18" s="2" t="s">
        <v>68</v>
      </c>
      <c r="QFL18" s="7"/>
      <c r="QFM18"/>
      <c r="QFN18"/>
      <c r="QFO18" s="10">
        <v>-1.01</v>
      </c>
      <c r="QFP18" s="2" t="s">
        <v>65</v>
      </c>
      <c r="QFQ18" t="s">
        <v>14</v>
      </c>
      <c r="QFR18" s="5">
        <v>43521</v>
      </c>
      <c r="QFS18" s="2" t="s">
        <v>68</v>
      </c>
      <c r="QFT18" s="7"/>
      <c r="QFU18"/>
      <c r="QFV18"/>
      <c r="QFW18" s="10">
        <v>-1.01</v>
      </c>
      <c r="QFX18" s="2" t="s">
        <v>65</v>
      </c>
      <c r="QFY18" t="s">
        <v>14</v>
      </c>
      <c r="QFZ18" s="5">
        <v>43521</v>
      </c>
      <c r="QGA18" s="2" t="s">
        <v>68</v>
      </c>
      <c r="QGB18" s="7"/>
      <c r="QGC18"/>
      <c r="QGD18"/>
      <c r="QGE18" s="10">
        <v>-1.01</v>
      </c>
      <c r="QGF18" s="2" t="s">
        <v>65</v>
      </c>
      <c r="QGG18" t="s">
        <v>14</v>
      </c>
      <c r="QGH18" s="5">
        <v>43521</v>
      </c>
      <c r="QGI18" s="2" t="s">
        <v>68</v>
      </c>
      <c r="QGJ18" s="7"/>
      <c r="QGK18"/>
      <c r="QGL18"/>
      <c r="QGM18" s="10">
        <v>-1.01</v>
      </c>
      <c r="QGN18" s="2" t="s">
        <v>65</v>
      </c>
      <c r="QGO18" t="s">
        <v>14</v>
      </c>
      <c r="QGP18" s="5">
        <v>43521</v>
      </c>
      <c r="QGQ18" s="2" t="s">
        <v>68</v>
      </c>
      <c r="QGR18" s="7"/>
      <c r="QGS18"/>
      <c r="QGT18"/>
      <c r="QGU18" s="10">
        <v>-1.01</v>
      </c>
      <c r="QGV18" s="2" t="s">
        <v>65</v>
      </c>
      <c r="QGW18" t="s">
        <v>14</v>
      </c>
      <c r="QGX18" s="5">
        <v>43521</v>
      </c>
      <c r="QGY18" s="2" t="s">
        <v>68</v>
      </c>
      <c r="QGZ18" s="7"/>
      <c r="QHA18"/>
      <c r="QHB18"/>
      <c r="QHC18" s="10">
        <v>-1.01</v>
      </c>
      <c r="QHD18" s="2" t="s">
        <v>65</v>
      </c>
      <c r="QHE18" t="s">
        <v>14</v>
      </c>
      <c r="QHF18" s="5">
        <v>43521</v>
      </c>
      <c r="QHG18" s="2" t="s">
        <v>68</v>
      </c>
      <c r="QHH18" s="7"/>
      <c r="QHI18"/>
      <c r="QHJ18"/>
      <c r="QHK18" s="10">
        <v>-1.01</v>
      </c>
      <c r="QHL18" s="2" t="s">
        <v>65</v>
      </c>
      <c r="QHM18" t="s">
        <v>14</v>
      </c>
      <c r="QHN18" s="5">
        <v>43521</v>
      </c>
      <c r="QHO18" s="2" t="s">
        <v>68</v>
      </c>
      <c r="QHP18" s="7"/>
      <c r="QHQ18"/>
      <c r="QHR18"/>
      <c r="QHS18" s="10">
        <v>-1.01</v>
      </c>
      <c r="QHT18" s="2" t="s">
        <v>65</v>
      </c>
      <c r="QHU18" t="s">
        <v>14</v>
      </c>
      <c r="QHV18" s="5">
        <v>43521</v>
      </c>
      <c r="QHW18" s="2" t="s">
        <v>68</v>
      </c>
      <c r="QHX18" s="7"/>
      <c r="QHY18"/>
      <c r="QHZ18"/>
      <c r="QIA18" s="10">
        <v>-1.01</v>
      </c>
      <c r="QIB18" s="2" t="s">
        <v>65</v>
      </c>
      <c r="QIC18" t="s">
        <v>14</v>
      </c>
      <c r="QID18" s="5">
        <v>43521</v>
      </c>
      <c r="QIE18" s="2" t="s">
        <v>68</v>
      </c>
      <c r="QIF18" s="7"/>
      <c r="QIG18"/>
      <c r="QIH18"/>
      <c r="QII18" s="10">
        <v>-1.01</v>
      </c>
      <c r="QIJ18" s="2" t="s">
        <v>65</v>
      </c>
      <c r="QIK18" t="s">
        <v>14</v>
      </c>
      <c r="QIL18" s="5">
        <v>43521</v>
      </c>
      <c r="QIM18" s="2" t="s">
        <v>68</v>
      </c>
      <c r="QIN18" s="7"/>
      <c r="QIO18"/>
      <c r="QIP18"/>
      <c r="QIQ18" s="10">
        <v>-1.01</v>
      </c>
      <c r="QIR18" s="2" t="s">
        <v>65</v>
      </c>
      <c r="QIS18" t="s">
        <v>14</v>
      </c>
      <c r="QIT18" s="5">
        <v>43521</v>
      </c>
      <c r="QIU18" s="2" t="s">
        <v>68</v>
      </c>
      <c r="QIV18" s="7"/>
      <c r="QIW18"/>
      <c r="QIX18"/>
      <c r="QIY18" s="10">
        <v>-1.01</v>
      </c>
      <c r="QIZ18" s="2" t="s">
        <v>65</v>
      </c>
      <c r="QJA18" t="s">
        <v>14</v>
      </c>
      <c r="QJB18" s="5">
        <v>43521</v>
      </c>
      <c r="QJC18" s="2" t="s">
        <v>68</v>
      </c>
      <c r="QJD18" s="7"/>
      <c r="QJE18"/>
      <c r="QJF18"/>
      <c r="QJG18" s="10">
        <v>-1.01</v>
      </c>
      <c r="QJH18" s="2" t="s">
        <v>65</v>
      </c>
      <c r="QJI18" t="s">
        <v>14</v>
      </c>
      <c r="QJJ18" s="5">
        <v>43521</v>
      </c>
      <c r="QJK18" s="2" t="s">
        <v>68</v>
      </c>
      <c r="QJL18" s="7"/>
      <c r="QJM18"/>
      <c r="QJN18"/>
      <c r="QJO18" s="10">
        <v>-1.01</v>
      </c>
      <c r="QJP18" s="2" t="s">
        <v>65</v>
      </c>
      <c r="QJQ18" t="s">
        <v>14</v>
      </c>
      <c r="QJR18" s="5">
        <v>43521</v>
      </c>
      <c r="QJS18" s="2" t="s">
        <v>68</v>
      </c>
      <c r="QJT18" s="7"/>
      <c r="QJU18"/>
      <c r="QJV18"/>
      <c r="QJW18" s="10">
        <v>-1.01</v>
      </c>
      <c r="QJX18" s="2" t="s">
        <v>65</v>
      </c>
      <c r="QJY18" t="s">
        <v>14</v>
      </c>
      <c r="QJZ18" s="5">
        <v>43521</v>
      </c>
      <c r="QKA18" s="2" t="s">
        <v>68</v>
      </c>
      <c r="QKB18" s="7"/>
      <c r="QKC18"/>
      <c r="QKD18"/>
      <c r="QKE18" s="10">
        <v>-1.01</v>
      </c>
      <c r="QKF18" s="2" t="s">
        <v>65</v>
      </c>
      <c r="QKG18" t="s">
        <v>14</v>
      </c>
      <c r="QKH18" s="5">
        <v>43521</v>
      </c>
      <c r="QKI18" s="2" t="s">
        <v>68</v>
      </c>
      <c r="QKJ18" s="7"/>
      <c r="QKK18"/>
      <c r="QKL18"/>
      <c r="QKM18" s="10">
        <v>-1.01</v>
      </c>
      <c r="QKN18" s="2" t="s">
        <v>65</v>
      </c>
      <c r="QKO18" t="s">
        <v>14</v>
      </c>
      <c r="QKP18" s="5">
        <v>43521</v>
      </c>
      <c r="QKQ18" s="2" t="s">
        <v>68</v>
      </c>
      <c r="QKR18" s="7"/>
      <c r="QKS18"/>
      <c r="QKT18"/>
      <c r="QKU18" s="10">
        <v>-1.01</v>
      </c>
      <c r="QKV18" s="2" t="s">
        <v>65</v>
      </c>
      <c r="QKW18" t="s">
        <v>14</v>
      </c>
      <c r="QKX18" s="5">
        <v>43521</v>
      </c>
      <c r="QKY18" s="2" t="s">
        <v>68</v>
      </c>
      <c r="QKZ18" s="7"/>
      <c r="QLA18"/>
      <c r="QLB18"/>
      <c r="QLC18" s="10">
        <v>-1.01</v>
      </c>
      <c r="QLD18" s="2" t="s">
        <v>65</v>
      </c>
      <c r="QLE18" t="s">
        <v>14</v>
      </c>
      <c r="QLF18" s="5">
        <v>43521</v>
      </c>
      <c r="QLG18" s="2" t="s">
        <v>68</v>
      </c>
      <c r="QLH18" s="7"/>
      <c r="QLI18"/>
      <c r="QLJ18"/>
      <c r="QLK18" s="10">
        <v>-1.01</v>
      </c>
      <c r="QLL18" s="2" t="s">
        <v>65</v>
      </c>
      <c r="QLM18" t="s">
        <v>14</v>
      </c>
      <c r="QLN18" s="5">
        <v>43521</v>
      </c>
      <c r="QLO18" s="2" t="s">
        <v>68</v>
      </c>
      <c r="QLP18" s="7"/>
      <c r="QLQ18"/>
      <c r="QLR18"/>
      <c r="QLS18" s="10">
        <v>-1.01</v>
      </c>
      <c r="QLT18" s="2" t="s">
        <v>65</v>
      </c>
      <c r="QLU18" t="s">
        <v>14</v>
      </c>
      <c r="QLV18" s="5">
        <v>43521</v>
      </c>
      <c r="QLW18" s="2" t="s">
        <v>68</v>
      </c>
      <c r="QLX18" s="7"/>
      <c r="QLY18"/>
      <c r="QLZ18"/>
      <c r="QMA18" s="10">
        <v>-1.01</v>
      </c>
      <c r="QMB18" s="2" t="s">
        <v>65</v>
      </c>
      <c r="QMC18" t="s">
        <v>14</v>
      </c>
      <c r="QMD18" s="5">
        <v>43521</v>
      </c>
      <c r="QME18" s="2" t="s">
        <v>68</v>
      </c>
      <c r="QMF18" s="7"/>
      <c r="QMG18"/>
      <c r="QMH18"/>
      <c r="QMI18" s="10">
        <v>-1.01</v>
      </c>
      <c r="QMJ18" s="2" t="s">
        <v>65</v>
      </c>
      <c r="QMK18" t="s">
        <v>14</v>
      </c>
      <c r="QML18" s="5">
        <v>43521</v>
      </c>
      <c r="QMM18" s="2" t="s">
        <v>68</v>
      </c>
      <c r="QMN18" s="7"/>
      <c r="QMO18"/>
      <c r="QMP18"/>
      <c r="QMQ18" s="10">
        <v>-1.01</v>
      </c>
      <c r="QMR18" s="2" t="s">
        <v>65</v>
      </c>
      <c r="QMS18" t="s">
        <v>14</v>
      </c>
      <c r="QMT18" s="5">
        <v>43521</v>
      </c>
      <c r="QMU18" s="2" t="s">
        <v>68</v>
      </c>
      <c r="QMV18" s="7"/>
      <c r="QMW18"/>
      <c r="QMX18"/>
      <c r="QMY18" s="10">
        <v>-1.01</v>
      </c>
      <c r="QMZ18" s="2" t="s">
        <v>65</v>
      </c>
      <c r="QNA18" t="s">
        <v>14</v>
      </c>
      <c r="QNB18" s="5">
        <v>43521</v>
      </c>
      <c r="QNC18" s="2" t="s">
        <v>68</v>
      </c>
      <c r="QND18" s="7"/>
      <c r="QNE18"/>
      <c r="QNF18"/>
      <c r="QNG18" s="10">
        <v>-1.01</v>
      </c>
      <c r="QNH18" s="2" t="s">
        <v>65</v>
      </c>
      <c r="QNI18" t="s">
        <v>14</v>
      </c>
      <c r="QNJ18" s="5">
        <v>43521</v>
      </c>
      <c r="QNK18" s="2" t="s">
        <v>68</v>
      </c>
      <c r="QNL18" s="7"/>
      <c r="QNM18"/>
      <c r="QNN18"/>
      <c r="QNO18" s="10">
        <v>-1.01</v>
      </c>
      <c r="QNP18" s="2" t="s">
        <v>65</v>
      </c>
      <c r="QNQ18" t="s">
        <v>14</v>
      </c>
      <c r="QNR18" s="5">
        <v>43521</v>
      </c>
      <c r="QNS18" s="2" t="s">
        <v>68</v>
      </c>
      <c r="QNT18" s="7"/>
      <c r="QNU18"/>
      <c r="QNV18"/>
      <c r="QNW18" s="10">
        <v>-1.01</v>
      </c>
      <c r="QNX18" s="2" t="s">
        <v>65</v>
      </c>
      <c r="QNY18" t="s">
        <v>14</v>
      </c>
      <c r="QNZ18" s="5">
        <v>43521</v>
      </c>
      <c r="QOA18" s="2" t="s">
        <v>68</v>
      </c>
      <c r="QOB18" s="7"/>
      <c r="QOC18"/>
      <c r="QOD18"/>
      <c r="QOE18" s="10">
        <v>-1.01</v>
      </c>
      <c r="QOF18" s="2" t="s">
        <v>65</v>
      </c>
      <c r="QOG18" t="s">
        <v>14</v>
      </c>
      <c r="QOH18" s="5">
        <v>43521</v>
      </c>
      <c r="QOI18" s="2" t="s">
        <v>68</v>
      </c>
      <c r="QOJ18" s="7"/>
      <c r="QOK18"/>
      <c r="QOL18"/>
      <c r="QOM18" s="10">
        <v>-1.01</v>
      </c>
      <c r="QON18" s="2" t="s">
        <v>65</v>
      </c>
      <c r="QOO18" t="s">
        <v>14</v>
      </c>
      <c r="QOP18" s="5">
        <v>43521</v>
      </c>
      <c r="QOQ18" s="2" t="s">
        <v>68</v>
      </c>
      <c r="QOR18" s="7"/>
      <c r="QOS18"/>
      <c r="QOT18"/>
      <c r="QOU18" s="10">
        <v>-1.01</v>
      </c>
      <c r="QOV18" s="2" t="s">
        <v>65</v>
      </c>
      <c r="QOW18" t="s">
        <v>14</v>
      </c>
      <c r="QOX18" s="5">
        <v>43521</v>
      </c>
      <c r="QOY18" s="2" t="s">
        <v>68</v>
      </c>
      <c r="QOZ18" s="7"/>
      <c r="QPA18"/>
      <c r="QPB18"/>
      <c r="QPC18" s="10">
        <v>-1.01</v>
      </c>
      <c r="QPD18" s="2" t="s">
        <v>65</v>
      </c>
      <c r="QPE18" t="s">
        <v>14</v>
      </c>
      <c r="QPF18" s="5">
        <v>43521</v>
      </c>
      <c r="QPG18" s="2" t="s">
        <v>68</v>
      </c>
      <c r="QPH18" s="7"/>
      <c r="QPI18"/>
      <c r="QPJ18"/>
      <c r="QPK18" s="10">
        <v>-1.01</v>
      </c>
      <c r="QPL18" s="2" t="s">
        <v>65</v>
      </c>
      <c r="QPM18" t="s">
        <v>14</v>
      </c>
      <c r="QPN18" s="5">
        <v>43521</v>
      </c>
      <c r="QPO18" s="2" t="s">
        <v>68</v>
      </c>
      <c r="QPP18" s="7"/>
      <c r="QPQ18"/>
      <c r="QPR18"/>
      <c r="QPS18" s="10">
        <v>-1.01</v>
      </c>
      <c r="QPT18" s="2" t="s">
        <v>65</v>
      </c>
      <c r="QPU18" t="s">
        <v>14</v>
      </c>
      <c r="QPV18" s="5">
        <v>43521</v>
      </c>
      <c r="QPW18" s="2" t="s">
        <v>68</v>
      </c>
      <c r="QPX18" s="7"/>
      <c r="QPY18"/>
      <c r="QPZ18"/>
      <c r="QQA18" s="10">
        <v>-1.01</v>
      </c>
      <c r="QQB18" s="2" t="s">
        <v>65</v>
      </c>
      <c r="QQC18" t="s">
        <v>14</v>
      </c>
      <c r="QQD18" s="5">
        <v>43521</v>
      </c>
      <c r="QQE18" s="2" t="s">
        <v>68</v>
      </c>
      <c r="QQF18" s="7"/>
      <c r="QQG18"/>
      <c r="QQH18"/>
      <c r="QQI18" s="10">
        <v>-1.01</v>
      </c>
      <c r="QQJ18" s="2" t="s">
        <v>65</v>
      </c>
      <c r="QQK18" t="s">
        <v>14</v>
      </c>
      <c r="QQL18" s="5">
        <v>43521</v>
      </c>
      <c r="QQM18" s="2" t="s">
        <v>68</v>
      </c>
      <c r="QQN18" s="7"/>
      <c r="QQO18"/>
      <c r="QQP18"/>
      <c r="QQQ18" s="10">
        <v>-1.01</v>
      </c>
      <c r="QQR18" s="2" t="s">
        <v>65</v>
      </c>
      <c r="QQS18" t="s">
        <v>14</v>
      </c>
      <c r="QQT18" s="5">
        <v>43521</v>
      </c>
      <c r="QQU18" s="2" t="s">
        <v>68</v>
      </c>
      <c r="QQV18" s="7"/>
      <c r="QQW18"/>
      <c r="QQX18"/>
      <c r="QQY18" s="10">
        <v>-1.01</v>
      </c>
      <c r="QQZ18" s="2" t="s">
        <v>65</v>
      </c>
      <c r="QRA18" t="s">
        <v>14</v>
      </c>
      <c r="QRB18" s="5">
        <v>43521</v>
      </c>
      <c r="QRC18" s="2" t="s">
        <v>68</v>
      </c>
      <c r="QRD18" s="7"/>
      <c r="QRE18"/>
      <c r="QRF18"/>
      <c r="QRG18" s="10">
        <v>-1.01</v>
      </c>
      <c r="QRH18" s="2" t="s">
        <v>65</v>
      </c>
      <c r="QRI18" t="s">
        <v>14</v>
      </c>
      <c r="QRJ18" s="5">
        <v>43521</v>
      </c>
      <c r="QRK18" s="2" t="s">
        <v>68</v>
      </c>
      <c r="QRL18" s="7"/>
      <c r="QRM18"/>
      <c r="QRN18"/>
      <c r="QRO18" s="10">
        <v>-1.01</v>
      </c>
      <c r="QRP18" s="2" t="s">
        <v>65</v>
      </c>
      <c r="QRQ18" t="s">
        <v>14</v>
      </c>
      <c r="QRR18" s="5">
        <v>43521</v>
      </c>
      <c r="QRS18" s="2" t="s">
        <v>68</v>
      </c>
      <c r="QRT18" s="7"/>
      <c r="QRU18"/>
      <c r="QRV18"/>
      <c r="QRW18" s="10">
        <v>-1.01</v>
      </c>
      <c r="QRX18" s="2" t="s">
        <v>65</v>
      </c>
      <c r="QRY18" t="s">
        <v>14</v>
      </c>
      <c r="QRZ18" s="5">
        <v>43521</v>
      </c>
      <c r="QSA18" s="2" t="s">
        <v>68</v>
      </c>
      <c r="QSB18" s="7"/>
      <c r="QSC18"/>
      <c r="QSD18"/>
      <c r="QSE18" s="10">
        <v>-1.01</v>
      </c>
      <c r="QSF18" s="2" t="s">
        <v>65</v>
      </c>
      <c r="QSG18" t="s">
        <v>14</v>
      </c>
      <c r="QSH18" s="5">
        <v>43521</v>
      </c>
      <c r="QSI18" s="2" t="s">
        <v>68</v>
      </c>
      <c r="QSJ18" s="7"/>
      <c r="QSK18"/>
      <c r="QSL18"/>
      <c r="QSM18" s="10">
        <v>-1.01</v>
      </c>
      <c r="QSN18" s="2" t="s">
        <v>65</v>
      </c>
      <c r="QSO18" t="s">
        <v>14</v>
      </c>
      <c r="QSP18" s="5">
        <v>43521</v>
      </c>
      <c r="QSQ18" s="2" t="s">
        <v>68</v>
      </c>
      <c r="QSR18" s="7"/>
      <c r="QSS18"/>
      <c r="QST18"/>
      <c r="QSU18" s="10">
        <v>-1.01</v>
      </c>
      <c r="QSV18" s="2" t="s">
        <v>65</v>
      </c>
      <c r="QSW18" t="s">
        <v>14</v>
      </c>
      <c r="QSX18" s="5">
        <v>43521</v>
      </c>
      <c r="QSY18" s="2" t="s">
        <v>68</v>
      </c>
      <c r="QSZ18" s="7"/>
      <c r="QTA18"/>
      <c r="QTB18"/>
      <c r="QTC18" s="10">
        <v>-1.01</v>
      </c>
      <c r="QTD18" s="2" t="s">
        <v>65</v>
      </c>
      <c r="QTE18" t="s">
        <v>14</v>
      </c>
      <c r="QTF18" s="5">
        <v>43521</v>
      </c>
      <c r="QTG18" s="2" t="s">
        <v>68</v>
      </c>
      <c r="QTH18" s="7"/>
      <c r="QTI18"/>
      <c r="QTJ18"/>
      <c r="QTK18" s="10">
        <v>-1.01</v>
      </c>
      <c r="QTL18" s="2" t="s">
        <v>65</v>
      </c>
      <c r="QTM18" t="s">
        <v>14</v>
      </c>
      <c r="QTN18" s="5">
        <v>43521</v>
      </c>
      <c r="QTO18" s="2" t="s">
        <v>68</v>
      </c>
      <c r="QTP18" s="7"/>
      <c r="QTQ18"/>
      <c r="QTR18"/>
      <c r="QTS18" s="10">
        <v>-1.01</v>
      </c>
      <c r="QTT18" s="2" t="s">
        <v>65</v>
      </c>
      <c r="QTU18" t="s">
        <v>14</v>
      </c>
      <c r="QTV18" s="5">
        <v>43521</v>
      </c>
      <c r="QTW18" s="2" t="s">
        <v>68</v>
      </c>
      <c r="QTX18" s="7"/>
      <c r="QTY18"/>
      <c r="QTZ18"/>
      <c r="QUA18" s="10">
        <v>-1.01</v>
      </c>
      <c r="QUB18" s="2" t="s">
        <v>65</v>
      </c>
      <c r="QUC18" t="s">
        <v>14</v>
      </c>
      <c r="QUD18" s="5">
        <v>43521</v>
      </c>
      <c r="QUE18" s="2" t="s">
        <v>68</v>
      </c>
      <c r="QUF18" s="7"/>
      <c r="QUG18"/>
      <c r="QUH18"/>
      <c r="QUI18" s="10">
        <v>-1.01</v>
      </c>
      <c r="QUJ18" s="2" t="s">
        <v>65</v>
      </c>
      <c r="QUK18" t="s">
        <v>14</v>
      </c>
      <c r="QUL18" s="5">
        <v>43521</v>
      </c>
      <c r="QUM18" s="2" t="s">
        <v>68</v>
      </c>
      <c r="QUN18" s="7"/>
      <c r="QUO18"/>
      <c r="QUP18"/>
      <c r="QUQ18" s="10">
        <v>-1.01</v>
      </c>
      <c r="QUR18" s="2" t="s">
        <v>65</v>
      </c>
      <c r="QUS18" t="s">
        <v>14</v>
      </c>
      <c r="QUT18" s="5">
        <v>43521</v>
      </c>
      <c r="QUU18" s="2" t="s">
        <v>68</v>
      </c>
      <c r="QUV18" s="7"/>
      <c r="QUW18"/>
      <c r="QUX18"/>
      <c r="QUY18" s="10">
        <v>-1.01</v>
      </c>
      <c r="QUZ18" s="2" t="s">
        <v>65</v>
      </c>
      <c r="QVA18" t="s">
        <v>14</v>
      </c>
      <c r="QVB18" s="5">
        <v>43521</v>
      </c>
      <c r="QVC18" s="2" t="s">
        <v>68</v>
      </c>
      <c r="QVD18" s="7"/>
      <c r="QVE18"/>
      <c r="QVF18"/>
      <c r="QVG18" s="10">
        <v>-1.01</v>
      </c>
      <c r="QVH18" s="2" t="s">
        <v>65</v>
      </c>
      <c r="QVI18" t="s">
        <v>14</v>
      </c>
      <c r="QVJ18" s="5">
        <v>43521</v>
      </c>
      <c r="QVK18" s="2" t="s">
        <v>68</v>
      </c>
      <c r="QVL18" s="7"/>
      <c r="QVM18"/>
      <c r="QVN18"/>
      <c r="QVO18" s="10">
        <v>-1.01</v>
      </c>
      <c r="QVP18" s="2" t="s">
        <v>65</v>
      </c>
      <c r="QVQ18" t="s">
        <v>14</v>
      </c>
      <c r="QVR18" s="5">
        <v>43521</v>
      </c>
      <c r="QVS18" s="2" t="s">
        <v>68</v>
      </c>
      <c r="QVT18" s="7"/>
      <c r="QVU18"/>
      <c r="QVV18"/>
      <c r="QVW18" s="10">
        <v>-1.01</v>
      </c>
      <c r="QVX18" s="2" t="s">
        <v>65</v>
      </c>
      <c r="QVY18" t="s">
        <v>14</v>
      </c>
      <c r="QVZ18" s="5">
        <v>43521</v>
      </c>
      <c r="QWA18" s="2" t="s">
        <v>68</v>
      </c>
      <c r="QWB18" s="7"/>
      <c r="QWC18"/>
      <c r="QWD18"/>
      <c r="QWE18" s="10">
        <v>-1.01</v>
      </c>
      <c r="QWF18" s="2" t="s">
        <v>65</v>
      </c>
      <c r="QWG18" t="s">
        <v>14</v>
      </c>
      <c r="QWH18" s="5">
        <v>43521</v>
      </c>
      <c r="QWI18" s="2" t="s">
        <v>68</v>
      </c>
      <c r="QWJ18" s="7"/>
      <c r="QWK18"/>
      <c r="QWL18"/>
      <c r="QWM18" s="10">
        <v>-1.01</v>
      </c>
      <c r="QWN18" s="2" t="s">
        <v>65</v>
      </c>
      <c r="QWO18" t="s">
        <v>14</v>
      </c>
      <c r="QWP18" s="5">
        <v>43521</v>
      </c>
      <c r="QWQ18" s="2" t="s">
        <v>68</v>
      </c>
      <c r="QWR18" s="7"/>
      <c r="QWS18"/>
      <c r="QWT18"/>
      <c r="QWU18" s="10">
        <v>-1.01</v>
      </c>
      <c r="QWV18" s="2" t="s">
        <v>65</v>
      </c>
      <c r="QWW18" t="s">
        <v>14</v>
      </c>
      <c r="QWX18" s="5">
        <v>43521</v>
      </c>
      <c r="QWY18" s="2" t="s">
        <v>68</v>
      </c>
      <c r="QWZ18" s="7"/>
      <c r="QXA18"/>
      <c r="QXB18"/>
      <c r="QXC18" s="10">
        <v>-1.01</v>
      </c>
      <c r="QXD18" s="2" t="s">
        <v>65</v>
      </c>
      <c r="QXE18" t="s">
        <v>14</v>
      </c>
      <c r="QXF18" s="5">
        <v>43521</v>
      </c>
      <c r="QXG18" s="2" t="s">
        <v>68</v>
      </c>
      <c r="QXH18" s="7"/>
      <c r="QXI18"/>
      <c r="QXJ18"/>
      <c r="QXK18" s="10">
        <v>-1.01</v>
      </c>
      <c r="QXL18" s="2" t="s">
        <v>65</v>
      </c>
      <c r="QXM18" t="s">
        <v>14</v>
      </c>
      <c r="QXN18" s="5">
        <v>43521</v>
      </c>
      <c r="QXO18" s="2" t="s">
        <v>68</v>
      </c>
      <c r="QXP18" s="7"/>
      <c r="QXQ18"/>
      <c r="QXR18"/>
      <c r="QXS18" s="10">
        <v>-1.01</v>
      </c>
      <c r="QXT18" s="2" t="s">
        <v>65</v>
      </c>
      <c r="QXU18" t="s">
        <v>14</v>
      </c>
      <c r="QXV18" s="5">
        <v>43521</v>
      </c>
      <c r="QXW18" s="2" t="s">
        <v>68</v>
      </c>
      <c r="QXX18" s="7"/>
      <c r="QXY18"/>
      <c r="QXZ18"/>
      <c r="QYA18" s="10">
        <v>-1.01</v>
      </c>
      <c r="QYB18" s="2" t="s">
        <v>65</v>
      </c>
      <c r="QYC18" t="s">
        <v>14</v>
      </c>
      <c r="QYD18" s="5">
        <v>43521</v>
      </c>
      <c r="QYE18" s="2" t="s">
        <v>68</v>
      </c>
      <c r="QYF18" s="7"/>
      <c r="QYG18"/>
      <c r="QYH18"/>
      <c r="QYI18" s="10">
        <v>-1.01</v>
      </c>
      <c r="QYJ18" s="2" t="s">
        <v>65</v>
      </c>
      <c r="QYK18" t="s">
        <v>14</v>
      </c>
      <c r="QYL18" s="5">
        <v>43521</v>
      </c>
      <c r="QYM18" s="2" t="s">
        <v>68</v>
      </c>
      <c r="QYN18" s="7"/>
      <c r="QYO18"/>
      <c r="QYP18"/>
      <c r="QYQ18" s="10">
        <v>-1.01</v>
      </c>
      <c r="QYR18" s="2" t="s">
        <v>65</v>
      </c>
      <c r="QYS18" t="s">
        <v>14</v>
      </c>
      <c r="QYT18" s="5">
        <v>43521</v>
      </c>
      <c r="QYU18" s="2" t="s">
        <v>68</v>
      </c>
      <c r="QYV18" s="7"/>
      <c r="QYW18"/>
      <c r="QYX18"/>
      <c r="QYY18" s="10">
        <v>-1.01</v>
      </c>
      <c r="QYZ18" s="2" t="s">
        <v>65</v>
      </c>
      <c r="QZA18" t="s">
        <v>14</v>
      </c>
      <c r="QZB18" s="5">
        <v>43521</v>
      </c>
      <c r="QZC18" s="2" t="s">
        <v>68</v>
      </c>
      <c r="QZD18" s="7"/>
      <c r="QZE18"/>
      <c r="QZF18"/>
      <c r="QZG18" s="10">
        <v>-1.01</v>
      </c>
      <c r="QZH18" s="2" t="s">
        <v>65</v>
      </c>
      <c r="QZI18" t="s">
        <v>14</v>
      </c>
      <c r="QZJ18" s="5">
        <v>43521</v>
      </c>
      <c r="QZK18" s="2" t="s">
        <v>68</v>
      </c>
      <c r="QZL18" s="7"/>
      <c r="QZM18"/>
      <c r="QZN18"/>
      <c r="QZO18" s="10">
        <v>-1.01</v>
      </c>
      <c r="QZP18" s="2" t="s">
        <v>65</v>
      </c>
      <c r="QZQ18" t="s">
        <v>14</v>
      </c>
      <c r="QZR18" s="5">
        <v>43521</v>
      </c>
      <c r="QZS18" s="2" t="s">
        <v>68</v>
      </c>
      <c r="QZT18" s="7"/>
      <c r="QZU18"/>
      <c r="QZV18"/>
      <c r="QZW18" s="10">
        <v>-1.01</v>
      </c>
      <c r="QZX18" s="2" t="s">
        <v>65</v>
      </c>
      <c r="QZY18" t="s">
        <v>14</v>
      </c>
      <c r="QZZ18" s="5">
        <v>43521</v>
      </c>
      <c r="RAA18" s="2" t="s">
        <v>68</v>
      </c>
      <c r="RAB18" s="7"/>
      <c r="RAC18"/>
      <c r="RAD18"/>
      <c r="RAE18" s="10">
        <v>-1.01</v>
      </c>
      <c r="RAF18" s="2" t="s">
        <v>65</v>
      </c>
      <c r="RAG18" t="s">
        <v>14</v>
      </c>
      <c r="RAH18" s="5">
        <v>43521</v>
      </c>
      <c r="RAI18" s="2" t="s">
        <v>68</v>
      </c>
      <c r="RAJ18" s="7"/>
      <c r="RAK18"/>
      <c r="RAL18"/>
      <c r="RAM18" s="10">
        <v>-1.01</v>
      </c>
      <c r="RAN18" s="2" t="s">
        <v>65</v>
      </c>
      <c r="RAO18" t="s">
        <v>14</v>
      </c>
      <c r="RAP18" s="5">
        <v>43521</v>
      </c>
      <c r="RAQ18" s="2" t="s">
        <v>68</v>
      </c>
      <c r="RAR18" s="7"/>
      <c r="RAS18"/>
      <c r="RAT18"/>
      <c r="RAU18" s="10">
        <v>-1.01</v>
      </c>
      <c r="RAV18" s="2" t="s">
        <v>65</v>
      </c>
      <c r="RAW18" t="s">
        <v>14</v>
      </c>
      <c r="RAX18" s="5">
        <v>43521</v>
      </c>
      <c r="RAY18" s="2" t="s">
        <v>68</v>
      </c>
      <c r="RAZ18" s="7"/>
      <c r="RBA18"/>
      <c r="RBB18"/>
      <c r="RBC18" s="10">
        <v>-1.01</v>
      </c>
      <c r="RBD18" s="2" t="s">
        <v>65</v>
      </c>
      <c r="RBE18" t="s">
        <v>14</v>
      </c>
      <c r="RBF18" s="5">
        <v>43521</v>
      </c>
      <c r="RBG18" s="2" t="s">
        <v>68</v>
      </c>
      <c r="RBH18" s="7"/>
      <c r="RBI18"/>
      <c r="RBJ18"/>
      <c r="RBK18" s="10">
        <v>-1.01</v>
      </c>
      <c r="RBL18" s="2" t="s">
        <v>65</v>
      </c>
      <c r="RBM18" t="s">
        <v>14</v>
      </c>
      <c r="RBN18" s="5">
        <v>43521</v>
      </c>
      <c r="RBO18" s="2" t="s">
        <v>68</v>
      </c>
      <c r="RBP18" s="7"/>
      <c r="RBQ18"/>
      <c r="RBR18"/>
      <c r="RBS18" s="10">
        <v>-1.01</v>
      </c>
      <c r="RBT18" s="2" t="s">
        <v>65</v>
      </c>
      <c r="RBU18" t="s">
        <v>14</v>
      </c>
      <c r="RBV18" s="5">
        <v>43521</v>
      </c>
      <c r="RBW18" s="2" t="s">
        <v>68</v>
      </c>
      <c r="RBX18" s="7"/>
      <c r="RBY18"/>
      <c r="RBZ18"/>
      <c r="RCA18" s="10">
        <v>-1.01</v>
      </c>
      <c r="RCB18" s="2" t="s">
        <v>65</v>
      </c>
      <c r="RCC18" t="s">
        <v>14</v>
      </c>
      <c r="RCD18" s="5">
        <v>43521</v>
      </c>
      <c r="RCE18" s="2" t="s">
        <v>68</v>
      </c>
      <c r="RCF18" s="7"/>
      <c r="RCG18"/>
      <c r="RCH18"/>
      <c r="RCI18" s="10">
        <v>-1.01</v>
      </c>
      <c r="RCJ18" s="2" t="s">
        <v>65</v>
      </c>
      <c r="RCK18" t="s">
        <v>14</v>
      </c>
      <c r="RCL18" s="5">
        <v>43521</v>
      </c>
      <c r="RCM18" s="2" t="s">
        <v>68</v>
      </c>
      <c r="RCN18" s="7"/>
      <c r="RCO18"/>
      <c r="RCP18"/>
      <c r="RCQ18" s="10">
        <v>-1.01</v>
      </c>
      <c r="RCR18" s="2" t="s">
        <v>65</v>
      </c>
      <c r="RCS18" t="s">
        <v>14</v>
      </c>
      <c r="RCT18" s="5">
        <v>43521</v>
      </c>
      <c r="RCU18" s="2" t="s">
        <v>68</v>
      </c>
      <c r="RCV18" s="7"/>
      <c r="RCW18"/>
      <c r="RCX18"/>
      <c r="RCY18" s="10">
        <v>-1.01</v>
      </c>
      <c r="RCZ18" s="2" t="s">
        <v>65</v>
      </c>
      <c r="RDA18" t="s">
        <v>14</v>
      </c>
      <c r="RDB18" s="5">
        <v>43521</v>
      </c>
      <c r="RDC18" s="2" t="s">
        <v>68</v>
      </c>
      <c r="RDD18" s="7"/>
      <c r="RDE18"/>
      <c r="RDF18"/>
      <c r="RDG18" s="10">
        <v>-1.01</v>
      </c>
      <c r="RDH18" s="2" t="s">
        <v>65</v>
      </c>
      <c r="RDI18" t="s">
        <v>14</v>
      </c>
      <c r="RDJ18" s="5">
        <v>43521</v>
      </c>
      <c r="RDK18" s="2" t="s">
        <v>68</v>
      </c>
      <c r="RDL18" s="7"/>
      <c r="RDM18"/>
      <c r="RDN18"/>
      <c r="RDO18" s="10">
        <v>-1.01</v>
      </c>
      <c r="RDP18" s="2" t="s">
        <v>65</v>
      </c>
      <c r="RDQ18" t="s">
        <v>14</v>
      </c>
      <c r="RDR18" s="5">
        <v>43521</v>
      </c>
      <c r="RDS18" s="2" t="s">
        <v>68</v>
      </c>
      <c r="RDT18" s="7"/>
      <c r="RDU18"/>
      <c r="RDV18"/>
      <c r="RDW18" s="10">
        <v>-1.01</v>
      </c>
      <c r="RDX18" s="2" t="s">
        <v>65</v>
      </c>
      <c r="RDY18" t="s">
        <v>14</v>
      </c>
      <c r="RDZ18" s="5">
        <v>43521</v>
      </c>
      <c r="REA18" s="2" t="s">
        <v>68</v>
      </c>
      <c r="REB18" s="7"/>
      <c r="REC18"/>
      <c r="RED18"/>
      <c r="REE18" s="10">
        <v>-1.01</v>
      </c>
      <c r="REF18" s="2" t="s">
        <v>65</v>
      </c>
      <c r="REG18" t="s">
        <v>14</v>
      </c>
      <c r="REH18" s="5">
        <v>43521</v>
      </c>
      <c r="REI18" s="2" t="s">
        <v>68</v>
      </c>
      <c r="REJ18" s="7"/>
      <c r="REK18"/>
      <c r="REL18"/>
      <c r="REM18" s="10">
        <v>-1.01</v>
      </c>
      <c r="REN18" s="2" t="s">
        <v>65</v>
      </c>
      <c r="REO18" t="s">
        <v>14</v>
      </c>
      <c r="REP18" s="5">
        <v>43521</v>
      </c>
      <c r="REQ18" s="2" t="s">
        <v>68</v>
      </c>
      <c r="RER18" s="7"/>
      <c r="RES18"/>
      <c r="RET18"/>
      <c r="REU18" s="10">
        <v>-1.01</v>
      </c>
      <c r="REV18" s="2" t="s">
        <v>65</v>
      </c>
      <c r="REW18" t="s">
        <v>14</v>
      </c>
      <c r="REX18" s="5">
        <v>43521</v>
      </c>
      <c r="REY18" s="2" t="s">
        <v>68</v>
      </c>
      <c r="REZ18" s="7"/>
      <c r="RFA18"/>
      <c r="RFB18"/>
      <c r="RFC18" s="10">
        <v>-1.01</v>
      </c>
      <c r="RFD18" s="2" t="s">
        <v>65</v>
      </c>
      <c r="RFE18" t="s">
        <v>14</v>
      </c>
      <c r="RFF18" s="5">
        <v>43521</v>
      </c>
      <c r="RFG18" s="2" t="s">
        <v>68</v>
      </c>
      <c r="RFH18" s="7"/>
      <c r="RFI18"/>
      <c r="RFJ18"/>
      <c r="RFK18" s="10">
        <v>-1.01</v>
      </c>
      <c r="RFL18" s="2" t="s">
        <v>65</v>
      </c>
      <c r="RFM18" t="s">
        <v>14</v>
      </c>
      <c r="RFN18" s="5">
        <v>43521</v>
      </c>
      <c r="RFO18" s="2" t="s">
        <v>68</v>
      </c>
      <c r="RFP18" s="7"/>
      <c r="RFQ18"/>
      <c r="RFR18"/>
      <c r="RFS18" s="10">
        <v>-1.01</v>
      </c>
      <c r="RFT18" s="2" t="s">
        <v>65</v>
      </c>
      <c r="RFU18" t="s">
        <v>14</v>
      </c>
      <c r="RFV18" s="5">
        <v>43521</v>
      </c>
      <c r="RFW18" s="2" t="s">
        <v>68</v>
      </c>
      <c r="RFX18" s="7"/>
      <c r="RFY18"/>
      <c r="RFZ18"/>
      <c r="RGA18" s="10">
        <v>-1.01</v>
      </c>
      <c r="RGB18" s="2" t="s">
        <v>65</v>
      </c>
      <c r="RGC18" t="s">
        <v>14</v>
      </c>
      <c r="RGD18" s="5">
        <v>43521</v>
      </c>
      <c r="RGE18" s="2" t="s">
        <v>68</v>
      </c>
      <c r="RGF18" s="7"/>
      <c r="RGG18"/>
      <c r="RGH18"/>
      <c r="RGI18" s="10">
        <v>-1.01</v>
      </c>
      <c r="RGJ18" s="2" t="s">
        <v>65</v>
      </c>
      <c r="RGK18" t="s">
        <v>14</v>
      </c>
      <c r="RGL18" s="5">
        <v>43521</v>
      </c>
      <c r="RGM18" s="2" t="s">
        <v>68</v>
      </c>
      <c r="RGN18" s="7"/>
      <c r="RGO18"/>
      <c r="RGP18"/>
      <c r="RGQ18" s="10">
        <v>-1.01</v>
      </c>
      <c r="RGR18" s="2" t="s">
        <v>65</v>
      </c>
      <c r="RGS18" t="s">
        <v>14</v>
      </c>
      <c r="RGT18" s="5">
        <v>43521</v>
      </c>
      <c r="RGU18" s="2" t="s">
        <v>68</v>
      </c>
      <c r="RGV18" s="7"/>
      <c r="RGW18"/>
      <c r="RGX18"/>
      <c r="RGY18" s="10">
        <v>-1.01</v>
      </c>
      <c r="RGZ18" s="2" t="s">
        <v>65</v>
      </c>
      <c r="RHA18" t="s">
        <v>14</v>
      </c>
      <c r="RHB18" s="5">
        <v>43521</v>
      </c>
      <c r="RHC18" s="2" t="s">
        <v>68</v>
      </c>
      <c r="RHD18" s="7"/>
      <c r="RHE18"/>
      <c r="RHF18"/>
      <c r="RHG18" s="10">
        <v>-1.01</v>
      </c>
      <c r="RHH18" s="2" t="s">
        <v>65</v>
      </c>
      <c r="RHI18" t="s">
        <v>14</v>
      </c>
      <c r="RHJ18" s="5">
        <v>43521</v>
      </c>
      <c r="RHK18" s="2" t="s">
        <v>68</v>
      </c>
      <c r="RHL18" s="7"/>
      <c r="RHM18"/>
      <c r="RHN18"/>
      <c r="RHO18" s="10">
        <v>-1.01</v>
      </c>
      <c r="RHP18" s="2" t="s">
        <v>65</v>
      </c>
      <c r="RHQ18" t="s">
        <v>14</v>
      </c>
      <c r="RHR18" s="5">
        <v>43521</v>
      </c>
      <c r="RHS18" s="2" t="s">
        <v>68</v>
      </c>
      <c r="RHT18" s="7"/>
      <c r="RHU18"/>
      <c r="RHV18"/>
      <c r="RHW18" s="10">
        <v>-1.01</v>
      </c>
      <c r="RHX18" s="2" t="s">
        <v>65</v>
      </c>
      <c r="RHY18" t="s">
        <v>14</v>
      </c>
      <c r="RHZ18" s="5">
        <v>43521</v>
      </c>
      <c r="RIA18" s="2" t="s">
        <v>68</v>
      </c>
      <c r="RIB18" s="7"/>
      <c r="RIC18"/>
      <c r="RID18"/>
      <c r="RIE18" s="10">
        <v>-1.01</v>
      </c>
      <c r="RIF18" s="2" t="s">
        <v>65</v>
      </c>
      <c r="RIG18" t="s">
        <v>14</v>
      </c>
      <c r="RIH18" s="5">
        <v>43521</v>
      </c>
      <c r="RII18" s="2" t="s">
        <v>68</v>
      </c>
      <c r="RIJ18" s="7"/>
      <c r="RIK18"/>
      <c r="RIL18"/>
      <c r="RIM18" s="10">
        <v>-1.01</v>
      </c>
      <c r="RIN18" s="2" t="s">
        <v>65</v>
      </c>
      <c r="RIO18" t="s">
        <v>14</v>
      </c>
      <c r="RIP18" s="5">
        <v>43521</v>
      </c>
      <c r="RIQ18" s="2" t="s">
        <v>68</v>
      </c>
      <c r="RIR18" s="7"/>
      <c r="RIS18"/>
      <c r="RIT18"/>
      <c r="RIU18" s="10">
        <v>-1.01</v>
      </c>
      <c r="RIV18" s="2" t="s">
        <v>65</v>
      </c>
      <c r="RIW18" t="s">
        <v>14</v>
      </c>
      <c r="RIX18" s="5">
        <v>43521</v>
      </c>
      <c r="RIY18" s="2" t="s">
        <v>68</v>
      </c>
      <c r="RIZ18" s="7"/>
      <c r="RJA18"/>
      <c r="RJB18"/>
      <c r="RJC18" s="10">
        <v>-1.01</v>
      </c>
      <c r="RJD18" s="2" t="s">
        <v>65</v>
      </c>
      <c r="RJE18" t="s">
        <v>14</v>
      </c>
      <c r="RJF18" s="5">
        <v>43521</v>
      </c>
      <c r="RJG18" s="2" t="s">
        <v>68</v>
      </c>
      <c r="RJH18" s="7"/>
      <c r="RJI18"/>
      <c r="RJJ18"/>
      <c r="RJK18" s="10">
        <v>-1.01</v>
      </c>
      <c r="RJL18" s="2" t="s">
        <v>65</v>
      </c>
      <c r="RJM18" t="s">
        <v>14</v>
      </c>
      <c r="RJN18" s="5">
        <v>43521</v>
      </c>
      <c r="RJO18" s="2" t="s">
        <v>68</v>
      </c>
      <c r="RJP18" s="7"/>
      <c r="RJQ18"/>
      <c r="RJR18"/>
      <c r="RJS18" s="10">
        <v>-1.01</v>
      </c>
      <c r="RJT18" s="2" t="s">
        <v>65</v>
      </c>
      <c r="RJU18" t="s">
        <v>14</v>
      </c>
      <c r="RJV18" s="5">
        <v>43521</v>
      </c>
      <c r="RJW18" s="2" t="s">
        <v>68</v>
      </c>
      <c r="RJX18" s="7"/>
      <c r="RJY18"/>
      <c r="RJZ18"/>
      <c r="RKA18" s="10">
        <v>-1.01</v>
      </c>
      <c r="RKB18" s="2" t="s">
        <v>65</v>
      </c>
      <c r="RKC18" t="s">
        <v>14</v>
      </c>
      <c r="RKD18" s="5">
        <v>43521</v>
      </c>
      <c r="RKE18" s="2" t="s">
        <v>68</v>
      </c>
      <c r="RKF18" s="7"/>
      <c r="RKG18"/>
      <c r="RKH18"/>
      <c r="RKI18" s="10">
        <v>-1.01</v>
      </c>
      <c r="RKJ18" s="2" t="s">
        <v>65</v>
      </c>
      <c r="RKK18" t="s">
        <v>14</v>
      </c>
      <c r="RKL18" s="5">
        <v>43521</v>
      </c>
      <c r="RKM18" s="2" t="s">
        <v>68</v>
      </c>
      <c r="RKN18" s="7"/>
      <c r="RKO18"/>
      <c r="RKP18"/>
      <c r="RKQ18" s="10">
        <v>-1.01</v>
      </c>
      <c r="RKR18" s="2" t="s">
        <v>65</v>
      </c>
      <c r="RKS18" t="s">
        <v>14</v>
      </c>
      <c r="RKT18" s="5">
        <v>43521</v>
      </c>
      <c r="RKU18" s="2" t="s">
        <v>68</v>
      </c>
      <c r="RKV18" s="7"/>
      <c r="RKW18"/>
      <c r="RKX18"/>
      <c r="RKY18" s="10">
        <v>-1.01</v>
      </c>
      <c r="RKZ18" s="2" t="s">
        <v>65</v>
      </c>
      <c r="RLA18" t="s">
        <v>14</v>
      </c>
      <c r="RLB18" s="5">
        <v>43521</v>
      </c>
      <c r="RLC18" s="2" t="s">
        <v>68</v>
      </c>
      <c r="RLD18" s="7"/>
      <c r="RLE18"/>
      <c r="RLF18"/>
      <c r="RLG18" s="10">
        <v>-1.01</v>
      </c>
      <c r="RLH18" s="2" t="s">
        <v>65</v>
      </c>
      <c r="RLI18" t="s">
        <v>14</v>
      </c>
      <c r="RLJ18" s="5">
        <v>43521</v>
      </c>
      <c r="RLK18" s="2" t="s">
        <v>68</v>
      </c>
      <c r="RLL18" s="7"/>
      <c r="RLM18"/>
      <c r="RLN18"/>
      <c r="RLO18" s="10">
        <v>-1.01</v>
      </c>
      <c r="RLP18" s="2" t="s">
        <v>65</v>
      </c>
      <c r="RLQ18" t="s">
        <v>14</v>
      </c>
      <c r="RLR18" s="5">
        <v>43521</v>
      </c>
      <c r="RLS18" s="2" t="s">
        <v>68</v>
      </c>
      <c r="RLT18" s="7"/>
      <c r="RLU18"/>
      <c r="RLV18"/>
      <c r="RLW18" s="10">
        <v>-1.01</v>
      </c>
      <c r="RLX18" s="2" t="s">
        <v>65</v>
      </c>
      <c r="RLY18" t="s">
        <v>14</v>
      </c>
      <c r="RLZ18" s="5">
        <v>43521</v>
      </c>
      <c r="RMA18" s="2" t="s">
        <v>68</v>
      </c>
      <c r="RMB18" s="7"/>
      <c r="RMC18"/>
      <c r="RMD18"/>
      <c r="RME18" s="10">
        <v>-1.01</v>
      </c>
      <c r="RMF18" s="2" t="s">
        <v>65</v>
      </c>
      <c r="RMG18" t="s">
        <v>14</v>
      </c>
      <c r="RMH18" s="5">
        <v>43521</v>
      </c>
      <c r="RMI18" s="2" t="s">
        <v>68</v>
      </c>
      <c r="RMJ18" s="7"/>
      <c r="RMK18"/>
      <c r="RML18"/>
      <c r="RMM18" s="10">
        <v>-1.01</v>
      </c>
      <c r="RMN18" s="2" t="s">
        <v>65</v>
      </c>
      <c r="RMO18" t="s">
        <v>14</v>
      </c>
      <c r="RMP18" s="5">
        <v>43521</v>
      </c>
      <c r="RMQ18" s="2" t="s">
        <v>68</v>
      </c>
      <c r="RMR18" s="7"/>
      <c r="RMS18"/>
      <c r="RMT18"/>
      <c r="RMU18" s="10">
        <v>-1.01</v>
      </c>
      <c r="RMV18" s="2" t="s">
        <v>65</v>
      </c>
      <c r="RMW18" t="s">
        <v>14</v>
      </c>
      <c r="RMX18" s="5">
        <v>43521</v>
      </c>
      <c r="RMY18" s="2" t="s">
        <v>68</v>
      </c>
      <c r="RMZ18" s="7"/>
      <c r="RNA18"/>
      <c r="RNB18"/>
      <c r="RNC18" s="10">
        <v>-1.01</v>
      </c>
      <c r="RND18" s="2" t="s">
        <v>65</v>
      </c>
      <c r="RNE18" t="s">
        <v>14</v>
      </c>
      <c r="RNF18" s="5">
        <v>43521</v>
      </c>
      <c r="RNG18" s="2" t="s">
        <v>68</v>
      </c>
      <c r="RNH18" s="7"/>
      <c r="RNI18"/>
      <c r="RNJ18"/>
      <c r="RNK18" s="10">
        <v>-1.01</v>
      </c>
      <c r="RNL18" s="2" t="s">
        <v>65</v>
      </c>
      <c r="RNM18" t="s">
        <v>14</v>
      </c>
      <c r="RNN18" s="5">
        <v>43521</v>
      </c>
      <c r="RNO18" s="2" t="s">
        <v>68</v>
      </c>
      <c r="RNP18" s="7"/>
      <c r="RNQ18"/>
      <c r="RNR18"/>
      <c r="RNS18" s="10">
        <v>-1.01</v>
      </c>
      <c r="RNT18" s="2" t="s">
        <v>65</v>
      </c>
      <c r="RNU18" t="s">
        <v>14</v>
      </c>
      <c r="RNV18" s="5">
        <v>43521</v>
      </c>
      <c r="RNW18" s="2" t="s">
        <v>68</v>
      </c>
      <c r="RNX18" s="7"/>
      <c r="RNY18"/>
      <c r="RNZ18"/>
      <c r="ROA18" s="10">
        <v>-1.01</v>
      </c>
      <c r="ROB18" s="2" t="s">
        <v>65</v>
      </c>
      <c r="ROC18" t="s">
        <v>14</v>
      </c>
      <c r="ROD18" s="5">
        <v>43521</v>
      </c>
      <c r="ROE18" s="2" t="s">
        <v>68</v>
      </c>
      <c r="ROF18" s="7"/>
      <c r="ROG18"/>
      <c r="ROH18"/>
      <c r="ROI18" s="10">
        <v>-1.01</v>
      </c>
      <c r="ROJ18" s="2" t="s">
        <v>65</v>
      </c>
      <c r="ROK18" t="s">
        <v>14</v>
      </c>
      <c r="ROL18" s="5">
        <v>43521</v>
      </c>
      <c r="ROM18" s="2" t="s">
        <v>68</v>
      </c>
      <c r="RON18" s="7"/>
      <c r="ROO18"/>
      <c r="ROP18"/>
      <c r="ROQ18" s="10">
        <v>-1.01</v>
      </c>
      <c r="ROR18" s="2" t="s">
        <v>65</v>
      </c>
      <c r="ROS18" t="s">
        <v>14</v>
      </c>
      <c r="ROT18" s="5">
        <v>43521</v>
      </c>
      <c r="ROU18" s="2" t="s">
        <v>68</v>
      </c>
      <c r="ROV18" s="7"/>
      <c r="ROW18"/>
      <c r="ROX18"/>
      <c r="ROY18" s="10">
        <v>-1.01</v>
      </c>
      <c r="ROZ18" s="2" t="s">
        <v>65</v>
      </c>
      <c r="RPA18" t="s">
        <v>14</v>
      </c>
      <c r="RPB18" s="5">
        <v>43521</v>
      </c>
      <c r="RPC18" s="2" t="s">
        <v>68</v>
      </c>
      <c r="RPD18" s="7"/>
      <c r="RPE18"/>
      <c r="RPF18"/>
      <c r="RPG18" s="10">
        <v>-1.01</v>
      </c>
      <c r="RPH18" s="2" t="s">
        <v>65</v>
      </c>
      <c r="RPI18" t="s">
        <v>14</v>
      </c>
      <c r="RPJ18" s="5">
        <v>43521</v>
      </c>
      <c r="RPK18" s="2" t="s">
        <v>68</v>
      </c>
      <c r="RPL18" s="7"/>
      <c r="RPM18"/>
      <c r="RPN18"/>
      <c r="RPO18" s="10">
        <v>-1.01</v>
      </c>
      <c r="RPP18" s="2" t="s">
        <v>65</v>
      </c>
      <c r="RPQ18" t="s">
        <v>14</v>
      </c>
      <c r="RPR18" s="5">
        <v>43521</v>
      </c>
      <c r="RPS18" s="2" t="s">
        <v>68</v>
      </c>
      <c r="RPT18" s="7"/>
      <c r="RPU18"/>
      <c r="RPV18"/>
      <c r="RPW18" s="10">
        <v>-1.01</v>
      </c>
      <c r="RPX18" s="2" t="s">
        <v>65</v>
      </c>
      <c r="RPY18" t="s">
        <v>14</v>
      </c>
      <c r="RPZ18" s="5">
        <v>43521</v>
      </c>
      <c r="RQA18" s="2" t="s">
        <v>68</v>
      </c>
      <c r="RQB18" s="7"/>
      <c r="RQC18"/>
      <c r="RQD18"/>
      <c r="RQE18" s="10">
        <v>-1.01</v>
      </c>
      <c r="RQF18" s="2" t="s">
        <v>65</v>
      </c>
      <c r="RQG18" t="s">
        <v>14</v>
      </c>
      <c r="RQH18" s="5">
        <v>43521</v>
      </c>
      <c r="RQI18" s="2" t="s">
        <v>68</v>
      </c>
      <c r="RQJ18" s="7"/>
      <c r="RQK18"/>
      <c r="RQL18"/>
      <c r="RQM18" s="10">
        <v>-1.01</v>
      </c>
      <c r="RQN18" s="2" t="s">
        <v>65</v>
      </c>
      <c r="RQO18" t="s">
        <v>14</v>
      </c>
      <c r="RQP18" s="5">
        <v>43521</v>
      </c>
      <c r="RQQ18" s="2" t="s">
        <v>68</v>
      </c>
      <c r="RQR18" s="7"/>
      <c r="RQS18"/>
      <c r="RQT18"/>
      <c r="RQU18" s="10">
        <v>-1.01</v>
      </c>
      <c r="RQV18" s="2" t="s">
        <v>65</v>
      </c>
      <c r="RQW18" t="s">
        <v>14</v>
      </c>
      <c r="RQX18" s="5">
        <v>43521</v>
      </c>
      <c r="RQY18" s="2" t="s">
        <v>68</v>
      </c>
      <c r="RQZ18" s="7"/>
      <c r="RRA18"/>
      <c r="RRB18"/>
      <c r="RRC18" s="10">
        <v>-1.01</v>
      </c>
      <c r="RRD18" s="2" t="s">
        <v>65</v>
      </c>
      <c r="RRE18" t="s">
        <v>14</v>
      </c>
      <c r="RRF18" s="5">
        <v>43521</v>
      </c>
      <c r="RRG18" s="2" t="s">
        <v>68</v>
      </c>
      <c r="RRH18" s="7"/>
      <c r="RRI18"/>
      <c r="RRJ18"/>
      <c r="RRK18" s="10">
        <v>-1.01</v>
      </c>
      <c r="RRL18" s="2" t="s">
        <v>65</v>
      </c>
      <c r="RRM18" t="s">
        <v>14</v>
      </c>
      <c r="RRN18" s="5">
        <v>43521</v>
      </c>
      <c r="RRO18" s="2" t="s">
        <v>68</v>
      </c>
      <c r="RRP18" s="7"/>
      <c r="RRQ18"/>
      <c r="RRR18"/>
      <c r="RRS18" s="10">
        <v>-1.01</v>
      </c>
      <c r="RRT18" s="2" t="s">
        <v>65</v>
      </c>
      <c r="RRU18" t="s">
        <v>14</v>
      </c>
      <c r="RRV18" s="5">
        <v>43521</v>
      </c>
      <c r="RRW18" s="2" t="s">
        <v>68</v>
      </c>
      <c r="RRX18" s="7"/>
      <c r="RRY18"/>
      <c r="RRZ18"/>
      <c r="RSA18" s="10">
        <v>-1.01</v>
      </c>
      <c r="RSB18" s="2" t="s">
        <v>65</v>
      </c>
      <c r="RSC18" t="s">
        <v>14</v>
      </c>
      <c r="RSD18" s="5">
        <v>43521</v>
      </c>
      <c r="RSE18" s="2" t="s">
        <v>68</v>
      </c>
      <c r="RSF18" s="7"/>
      <c r="RSG18"/>
      <c r="RSH18"/>
      <c r="RSI18" s="10">
        <v>-1.01</v>
      </c>
      <c r="RSJ18" s="2" t="s">
        <v>65</v>
      </c>
      <c r="RSK18" t="s">
        <v>14</v>
      </c>
      <c r="RSL18" s="5">
        <v>43521</v>
      </c>
      <c r="RSM18" s="2" t="s">
        <v>68</v>
      </c>
      <c r="RSN18" s="7"/>
      <c r="RSO18"/>
      <c r="RSP18"/>
      <c r="RSQ18" s="10">
        <v>-1.01</v>
      </c>
      <c r="RSR18" s="2" t="s">
        <v>65</v>
      </c>
      <c r="RSS18" t="s">
        <v>14</v>
      </c>
      <c r="RST18" s="5">
        <v>43521</v>
      </c>
      <c r="RSU18" s="2" t="s">
        <v>68</v>
      </c>
      <c r="RSV18" s="7"/>
      <c r="RSW18"/>
      <c r="RSX18"/>
      <c r="RSY18" s="10">
        <v>-1.01</v>
      </c>
      <c r="RSZ18" s="2" t="s">
        <v>65</v>
      </c>
      <c r="RTA18" t="s">
        <v>14</v>
      </c>
      <c r="RTB18" s="5">
        <v>43521</v>
      </c>
      <c r="RTC18" s="2" t="s">
        <v>68</v>
      </c>
      <c r="RTD18" s="7"/>
      <c r="RTE18"/>
      <c r="RTF18"/>
      <c r="RTG18" s="10">
        <v>-1.01</v>
      </c>
      <c r="RTH18" s="2" t="s">
        <v>65</v>
      </c>
      <c r="RTI18" t="s">
        <v>14</v>
      </c>
      <c r="RTJ18" s="5">
        <v>43521</v>
      </c>
      <c r="RTK18" s="2" t="s">
        <v>68</v>
      </c>
      <c r="RTL18" s="7"/>
      <c r="RTM18"/>
      <c r="RTN18"/>
      <c r="RTO18" s="10">
        <v>-1.01</v>
      </c>
      <c r="RTP18" s="2" t="s">
        <v>65</v>
      </c>
      <c r="RTQ18" t="s">
        <v>14</v>
      </c>
      <c r="RTR18" s="5">
        <v>43521</v>
      </c>
      <c r="RTS18" s="2" t="s">
        <v>68</v>
      </c>
      <c r="RTT18" s="7"/>
      <c r="RTU18"/>
      <c r="RTV18"/>
      <c r="RTW18" s="10">
        <v>-1.01</v>
      </c>
      <c r="RTX18" s="2" t="s">
        <v>65</v>
      </c>
      <c r="RTY18" t="s">
        <v>14</v>
      </c>
      <c r="RTZ18" s="5">
        <v>43521</v>
      </c>
      <c r="RUA18" s="2" t="s">
        <v>68</v>
      </c>
      <c r="RUB18" s="7"/>
      <c r="RUC18"/>
      <c r="RUD18"/>
      <c r="RUE18" s="10">
        <v>-1.01</v>
      </c>
      <c r="RUF18" s="2" t="s">
        <v>65</v>
      </c>
      <c r="RUG18" t="s">
        <v>14</v>
      </c>
      <c r="RUH18" s="5">
        <v>43521</v>
      </c>
      <c r="RUI18" s="2" t="s">
        <v>68</v>
      </c>
      <c r="RUJ18" s="7"/>
      <c r="RUK18"/>
      <c r="RUL18"/>
      <c r="RUM18" s="10">
        <v>-1.01</v>
      </c>
      <c r="RUN18" s="2" t="s">
        <v>65</v>
      </c>
      <c r="RUO18" t="s">
        <v>14</v>
      </c>
      <c r="RUP18" s="5">
        <v>43521</v>
      </c>
      <c r="RUQ18" s="2" t="s">
        <v>68</v>
      </c>
      <c r="RUR18" s="7"/>
      <c r="RUS18"/>
      <c r="RUT18"/>
      <c r="RUU18" s="10">
        <v>-1.01</v>
      </c>
      <c r="RUV18" s="2" t="s">
        <v>65</v>
      </c>
      <c r="RUW18" t="s">
        <v>14</v>
      </c>
      <c r="RUX18" s="5">
        <v>43521</v>
      </c>
      <c r="RUY18" s="2" t="s">
        <v>68</v>
      </c>
      <c r="RUZ18" s="7"/>
      <c r="RVA18"/>
      <c r="RVB18"/>
      <c r="RVC18" s="10">
        <v>-1.01</v>
      </c>
      <c r="RVD18" s="2" t="s">
        <v>65</v>
      </c>
      <c r="RVE18" t="s">
        <v>14</v>
      </c>
      <c r="RVF18" s="5">
        <v>43521</v>
      </c>
      <c r="RVG18" s="2" t="s">
        <v>68</v>
      </c>
      <c r="RVH18" s="7"/>
      <c r="RVI18"/>
      <c r="RVJ18"/>
      <c r="RVK18" s="10">
        <v>-1.01</v>
      </c>
      <c r="RVL18" s="2" t="s">
        <v>65</v>
      </c>
      <c r="RVM18" t="s">
        <v>14</v>
      </c>
      <c r="RVN18" s="5">
        <v>43521</v>
      </c>
      <c r="RVO18" s="2" t="s">
        <v>68</v>
      </c>
      <c r="RVP18" s="7"/>
      <c r="RVQ18"/>
      <c r="RVR18"/>
      <c r="RVS18" s="10">
        <v>-1.01</v>
      </c>
      <c r="RVT18" s="2" t="s">
        <v>65</v>
      </c>
      <c r="RVU18" t="s">
        <v>14</v>
      </c>
      <c r="RVV18" s="5">
        <v>43521</v>
      </c>
      <c r="RVW18" s="2" t="s">
        <v>68</v>
      </c>
      <c r="RVX18" s="7"/>
      <c r="RVY18"/>
      <c r="RVZ18"/>
      <c r="RWA18" s="10">
        <v>-1.01</v>
      </c>
      <c r="RWB18" s="2" t="s">
        <v>65</v>
      </c>
      <c r="RWC18" t="s">
        <v>14</v>
      </c>
      <c r="RWD18" s="5">
        <v>43521</v>
      </c>
      <c r="RWE18" s="2" t="s">
        <v>68</v>
      </c>
      <c r="RWF18" s="7"/>
      <c r="RWG18"/>
      <c r="RWH18"/>
      <c r="RWI18" s="10">
        <v>-1.01</v>
      </c>
      <c r="RWJ18" s="2" t="s">
        <v>65</v>
      </c>
      <c r="RWK18" t="s">
        <v>14</v>
      </c>
      <c r="RWL18" s="5">
        <v>43521</v>
      </c>
      <c r="RWM18" s="2" t="s">
        <v>68</v>
      </c>
      <c r="RWN18" s="7"/>
      <c r="RWO18"/>
      <c r="RWP18"/>
      <c r="RWQ18" s="10">
        <v>-1.01</v>
      </c>
      <c r="RWR18" s="2" t="s">
        <v>65</v>
      </c>
      <c r="RWS18" t="s">
        <v>14</v>
      </c>
      <c r="RWT18" s="5">
        <v>43521</v>
      </c>
      <c r="RWU18" s="2" t="s">
        <v>68</v>
      </c>
      <c r="RWV18" s="7"/>
      <c r="RWW18"/>
      <c r="RWX18"/>
      <c r="RWY18" s="10">
        <v>-1.01</v>
      </c>
      <c r="RWZ18" s="2" t="s">
        <v>65</v>
      </c>
      <c r="RXA18" t="s">
        <v>14</v>
      </c>
      <c r="RXB18" s="5">
        <v>43521</v>
      </c>
      <c r="RXC18" s="2" t="s">
        <v>68</v>
      </c>
      <c r="RXD18" s="7"/>
      <c r="RXE18"/>
      <c r="RXF18"/>
      <c r="RXG18" s="10">
        <v>-1.01</v>
      </c>
      <c r="RXH18" s="2" t="s">
        <v>65</v>
      </c>
      <c r="RXI18" t="s">
        <v>14</v>
      </c>
      <c r="RXJ18" s="5">
        <v>43521</v>
      </c>
      <c r="RXK18" s="2" t="s">
        <v>68</v>
      </c>
      <c r="RXL18" s="7"/>
      <c r="RXM18"/>
      <c r="RXN18"/>
      <c r="RXO18" s="10">
        <v>-1.01</v>
      </c>
      <c r="RXP18" s="2" t="s">
        <v>65</v>
      </c>
      <c r="RXQ18" t="s">
        <v>14</v>
      </c>
      <c r="RXR18" s="5">
        <v>43521</v>
      </c>
      <c r="RXS18" s="2" t="s">
        <v>68</v>
      </c>
      <c r="RXT18" s="7"/>
      <c r="RXU18"/>
      <c r="RXV18"/>
      <c r="RXW18" s="10">
        <v>-1.01</v>
      </c>
      <c r="RXX18" s="2" t="s">
        <v>65</v>
      </c>
      <c r="RXY18" t="s">
        <v>14</v>
      </c>
      <c r="RXZ18" s="5">
        <v>43521</v>
      </c>
      <c r="RYA18" s="2" t="s">
        <v>68</v>
      </c>
      <c r="RYB18" s="7"/>
      <c r="RYC18"/>
      <c r="RYD18"/>
      <c r="RYE18" s="10">
        <v>-1.01</v>
      </c>
      <c r="RYF18" s="2" t="s">
        <v>65</v>
      </c>
      <c r="RYG18" t="s">
        <v>14</v>
      </c>
      <c r="RYH18" s="5">
        <v>43521</v>
      </c>
      <c r="RYI18" s="2" t="s">
        <v>68</v>
      </c>
      <c r="RYJ18" s="7"/>
      <c r="RYK18"/>
      <c r="RYL18"/>
      <c r="RYM18" s="10">
        <v>-1.01</v>
      </c>
      <c r="RYN18" s="2" t="s">
        <v>65</v>
      </c>
      <c r="RYO18" t="s">
        <v>14</v>
      </c>
      <c r="RYP18" s="5">
        <v>43521</v>
      </c>
      <c r="RYQ18" s="2" t="s">
        <v>68</v>
      </c>
      <c r="RYR18" s="7"/>
      <c r="RYS18"/>
      <c r="RYT18"/>
      <c r="RYU18" s="10">
        <v>-1.01</v>
      </c>
      <c r="RYV18" s="2" t="s">
        <v>65</v>
      </c>
      <c r="RYW18" t="s">
        <v>14</v>
      </c>
      <c r="RYX18" s="5">
        <v>43521</v>
      </c>
      <c r="RYY18" s="2" t="s">
        <v>68</v>
      </c>
      <c r="RYZ18" s="7"/>
      <c r="RZA18"/>
      <c r="RZB18"/>
      <c r="RZC18" s="10">
        <v>-1.01</v>
      </c>
      <c r="RZD18" s="2" t="s">
        <v>65</v>
      </c>
      <c r="RZE18" t="s">
        <v>14</v>
      </c>
      <c r="RZF18" s="5">
        <v>43521</v>
      </c>
      <c r="RZG18" s="2" t="s">
        <v>68</v>
      </c>
      <c r="RZH18" s="7"/>
      <c r="RZI18"/>
      <c r="RZJ18"/>
      <c r="RZK18" s="10">
        <v>-1.01</v>
      </c>
      <c r="RZL18" s="2" t="s">
        <v>65</v>
      </c>
      <c r="RZM18" t="s">
        <v>14</v>
      </c>
      <c r="RZN18" s="5">
        <v>43521</v>
      </c>
      <c r="RZO18" s="2" t="s">
        <v>68</v>
      </c>
      <c r="RZP18" s="7"/>
      <c r="RZQ18"/>
      <c r="RZR18"/>
      <c r="RZS18" s="10">
        <v>-1.01</v>
      </c>
      <c r="RZT18" s="2" t="s">
        <v>65</v>
      </c>
      <c r="RZU18" t="s">
        <v>14</v>
      </c>
      <c r="RZV18" s="5">
        <v>43521</v>
      </c>
      <c r="RZW18" s="2" t="s">
        <v>68</v>
      </c>
      <c r="RZX18" s="7"/>
      <c r="RZY18"/>
      <c r="RZZ18"/>
      <c r="SAA18" s="10">
        <v>-1.01</v>
      </c>
      <c r="SAB18" s="2" t="s">
        <v>65</v>
      </c>
      <c r="SAC18" t="s">
        <v>14</v>
      </c>
      <c r="SAD18" s="5">
        <v>43521</v>
      </c>
      <c r="SAE18" s="2" t="s">
        <v>68</v>
      </c>
      <c r="SAF18" s="7"/>
      <c r="SAG18"/>
      <c r="SAH18"/>
      <c r="SAI18" s="10">
        <v>-1.01</v>
      </c>
      <c r="SAJ18" s="2" t="s">
        <v>65</v>
      </c>
      <c r="SAK18" t="s">
        <v>14</v>
      </c>
      <c r="SAL18" s="5">
        <v>43521</v>
      </c>
      <c r="SAM18" s="2" t="s">
        <v>68</v>
      </c>
      <c r="SAN18" s="7"/>
      <c r="SAO18"/>
      <c r="SAP18"/>
      <c r="SAQ18" s="10">
        <v>-1.01</v>
      </c>
      <c r="SAR18" s="2" t="s">
        <v>65</v>
      </c>
      <c r="SAS18" t="s">
        <v>14</v>
      </c>
      <c r="SAT18" s="5">
        <v>43521</v>
      </c>
      <c r="SAU18" s="2" t="s">
        <v>68</v>
      </c>
      <c r="SAV18" s="7"/>
      <c r="SAW18"/>
      <c r="SAX18"/>
      <c r="SAY18" s="10">
        <v>-1.01</v>
      </c>
      <c r="SAZ18" s="2" t="s">
        <v>65</v>
      </c>
      <c r="SBA18" t="s">
        <v>14</v>
      </c>
      <c r="SBB18" s="5">
        <v>43521</v>
      </c>
      <c r="SBC18" s="2" t="s">
        <v>68</v>
      </c>
      <c r="SBD18" s="7"/>
      <c r="SBE18"/>
      <c r="SBF18"/>
      <c r="SBG18" s="10">
        <v>-1.01</v>
      </c>
      <c r="SBH18" s="2" t="s">
        <v>65</v>
      </c>
      <c r="SBI18" t="s">
        <v>14</v>
      </c>
      <c r="SBJ18" s="5">
        <v>43521</v>
      </c>
      <c r="SBK18" s="2" t="s">
        <v>68</v>
      </c>
      <c r="SBL18" s="7"/>
      <c r="SBM18"/>
      <c r="SBN18"/>
      <c r="SBO18" s="10">
        <v>-1.01</v>
      </c>
      <c r="SBP18" s="2" t="s">
        <v>65</v>
      </c>
      <c r="SBQ18" t="s">
        <v>14</v>
      </c>
      <c r="SBR18" s="5">
        <v>43521</v>
      </c>
      <c r="SBS18" s="2" t="s">
        <v>68</v>
      </c>
      <c r="SBT18" s="7"/>
      <c r="SBU18"/>
      <c r="SBV18"/>
      <c r="SBW18" s="10">
        <v>-1.01</v>
      </c>
      <c r="SBX18" s="2" t="s">
        <v>65</v>
      </c>
      <c r="SBY18" t="s">
        <v>14</v>
      </c>
      <c r="SBZ18" s="5">
        <v>43521</v>
      </c>
      <c r="SCA18" s="2" t="s">
        <v>68</v>
      </c>
      <c r="SCB18" s="7"/>
      <c r="SCC18"/>
      <c r="SCD18"/>
      <c r="SCE18" s="10">
        <v>-1.01</v>
      </c>
      <c r="SCF18" s="2" t="s">
        <v>65</v>
      </c>
      <c r="SCG18" t="s">
        <v>14</v>
      </c>
      <c r="SCH18" s="5">
        <v>43521</v>
      </c>
      <c r="SCI18" s="2" t="s">
        <v>68</v>
      </c>
      <c r="SCJ18" s="7"/>
      <c r="SCK18"/>
      <c r="SCL18"/>
      <c r="SCM18" s="10">
        <v>-1.01</v>
      </c>
      <c r="SCN18" s="2" t="s">
        <v>65</v>
      </c>
      <c r="SCO18" t="s">
        <v>14</v>
      </c>
      <c r="SCP18" s="5">
        <v>43521</v>
      </c>
      <c r="SCQ18" s="2" t="s">
        <v>68</v>
      </c>
      <c r="SCR18" s="7"/>
      <c r="SCS18"/>
      <c r="SCT18"/>
      <c r="SCU18" s="10">
        <v>-1.01</v>
      </c>
      <c r="SCV18" s="2" t="s">
        <v>65</v>
      </c>
      <c r="SCW18" t="s">
        <v>14</v>
      </c>
      <c r="SCX18" s="5">
        <v>43521</v>
      </c>
      <c r="SCY18" s="2" t="s">
        <v>68</v>
      </c>
      <c r="SCZ18" s="7"/>
      <c r="SDA18"/>
      <c r="SDB18"/>
      <c r="SDC18" s="10">
        <v>-1.01</v>
      </c>
      <c r="SDD18" s="2" t="s">
        <v>65</v>
      </c>
      <c r="SDE18" t="s">
        <v>14</v>
      </c>
      <c r="SDF18" s="5">
        <v>43521</v>
      </c>
      <c r="SDG18" s="2" t="s">
        <v>68</v>
      </c>
      <c r="SDH18" s="7"/>
      <c r="SDI18"/>
      <c r="SDJ18"/>
      <c r="SDK18" s="10">
        <v>-1.01</v>
      </c>
      <c r="SDL18" s="2" t="s">
        <v>65</v>
      </c>
      <c r="SDM18" t="s">
        <v>14</v>
      </c>
      <c r="SDN18" s="5">
        <v>43521</v>
      </c>
      <c r="SDO18" s="2" t="s">
        <v>68</v>
      </c>
      <c r="SDP18" s="7"/>
      <c r="SDQ18"/>
      <c r="SDR18"/>
      <c r="SDS18" s="10">
        <v>-1.01</v>
      </c>
      <c r="SDT18" s="2" t="s">
        <v>65</v>
      </c>
      <c r="SDU18" t="s">
        <v>14</v>
      </c>
      <c r="SDV18" s="5">
        <v>43521</v>
      </c>
      <c r="SDW18" s="2" t="s">
        <v>68</v>
      </c>
      <c r="SDX18" s="7"/>
      <c r="SDY18"/>
      <c r="SDZ18"/>
      <c r="SEA18" s="10">
        <v>-1.01</v>
      </c>
      <c r="SEB18" s="2" t="s">
        <v>65</v>
      </c>
      <c r="SEC18" t="s">
        <v>14</v>
      </c>
      <c r="SED18" s="5">
        <v>43521</v>
      </c>
      <c r="SEE18" s="2" t="s">
        <v>68</v>
      </c>
      <c r="SEF18" s="7"/>
      <c r="SEG18"/>
      <c r="SEH18"/>
      <c r="SEI18" s="10">
        <v>-1.01</v>
      </c>
      <c r="SEJ18" s="2" t="s">
        <v>65</v>
      </c>
      <c r="SEK18" t="s">
        <v>14</v>
      </c>
      <c r="SEL18" s="5">
        <v>43521</v>
      </c>
      <c r="SEM18" s="2" t="s">
        <v>68</v>
      </c>
      <c r="SEN18" s="7"/>
      <c r="SEO18"/>
      <c r="SEP18"/>
      <c r="SEQ18" s="10">
        <v>-1.01</v>
      </c>
      <c r="SER18" s="2" t="s">
        <v>65</v>
      </c>
      <c r="SES18" t="s">
        <v>14</v>
      </c>
      <c r="SET18" s="5">
        <v>43521</v>
      </c>
      <c r="SEU18" s="2" t="s">
        <v>68</v>
      </c>
      <c r="SEV18" s="7"/>
      <c r="SEW18"/>
      <c r="SEX18"/>
      <c r="SEY18" s="10">
        <v>-1.01</v>
      </c>
      <c r="SEZ18" s="2" t="s">
        <v>65</v>
      </c>
      <c r="SFA18" t="s">
        <v>14</v>
      </c>
      <c r="SFB18" s="5">
        <v>43521</v>
      </c>
      <c r="SFC18" s="2" t="s">
        <v>68</v>
      </c>
      <c r="SFD18" s="7"/>
      <c r="SFE18"/>
      <c r="SFF18"/>
      <c r="SFG18" s="10">
        <v>-1.01</v>
      </c>
      <c r="SFH18" s="2" t="s">
        <v>65</v>
      </c>
      <c r="SFI18" t="s">
        <v>14</v>
      </c>
      <c r="SFJ18" s="5">
        <v>43521</v>
      </c>
      <c r="SFK18" s="2" t="s">
        <v>68</v>
      </c>
      <c r="SFL18" s="7"/>
      <c r="SFM18"/>
      <c r="SFN18"/>
      <c r="SFO18" s="10">
        <v>-1.01</v>
      </c>
      <c r="SFP18" s="2" t="s">
        <v>65</v>
      </c>
      <c r="SFQ18" t="s">
        <v>14</v>
      </c>
      <c r="SFR18" s="5">
        <v>43521</v>
      </c>
      <c r="SFS18" s="2" t="s">
        <v>68</v>
      </c>
      <c r="SFT18" s="7"/>
      <c r="SFU18"/>
      <c r="SFV18"/>
      <c r="SFW18" s="10">
        <v>-1.01</v>
      </c>
      <c r="SFX18" s="2" t="s">
        <v>65</v>
      </c>
      <c r="SFY18" t="s">
        <v>14</v>
      </c>
      <c r="SFZ18" s="5">
        <v>43521</v>
      </c>
      <c r="SGA18" s="2" t="s">
        <v>68</v>
      </c>
      <c r="SGB18" s="7"/>
      <c r="SGC18"/>
      <c r="SGD18"/>
      <c r="SGE18" s="10">
        <v>-1.01</v>
      </c>
      <c r="SGF18" s="2" t="s">
        <v>65</v>
      </c>
      <c r="SGG18" t="s">
        <v>14</v>
      </c>
      <c r="SGH18" s="5">
        <v>43521</v>
      </c>
      <c r="SGI18" s="2" t="s">
        <v>68</v>
      </c>
      <c r="SGJ18" s="7"/>
      <c r="SGK18"/>
      <c r="SGL18"/>
      <c r="SGM18" s="10">
        <v>-1.01</v>
      </c>
      <c r="SGN18" s="2" t="s">
        <v>65</v>
      </c>
      <c r="SGO18" t="s">
        <v>14</v>
      </c>
      <c r="SGP18" s="5">
        <v>43521</v>
      </c>
      <c r="SGQ18" s="2" t="s">
        <v>68</v>
      </c>
      <c r="SGR18" s="7"/>
      <c r="SGS18"/>
      <c r="SGT18"/>
      <c r="SGU18" s="10">
        <v>-1.01</v>
      </c>
      <c r="SGV18" s="2" t="s">
        <v>65</v>
      </c>
      <c r="SGW18" t="s">
        <v>14</v>
      </c>
      <c r="SGX18" s="5">
        <v>43521</v>
      </c>
      <c r="SGY18" s="2" t="s">
        <v>68</v>
      </c>
      <c r="SGZ18" s="7"/>
      <c r="SHA18"/>
      <c r="SHB18"/>
      <c r="SHC18" s="10">
        <v>-1.01</v>
      </c>
      <c r="SHD18" s="2" t="s">
        <v>65</v>
      </c>
      <c r="SHE18" t="s">
        <v>14</v>
      </c>
      <c r="SHF18" s="5">
        <v>43521</v>
      </c>
      <c r="SHG18" s="2" t="s">
        <v>68</v>
      </c>
      <c r="SHH18" s="7"/>
      <c r="SHI18"/>
      <c r="SHJ18"/>
      <c r="SHK18" s="10">
        <v>-1.01</v>
      </c>
      <c r="SHL18" s="2" t="s">
        <v>65</v>
      </c>
      <c r="SHM18" t="s">
        <v>14</v>
      </c>
      <c r="SHN18" s="5">
        <v>43521</v>
      </c>
      <c r="SHO18" s="2" t="s">
        <v>68</v>
      </c>
      <c r="SHP18" s="7"/>
      <c r="SHQ18"/>
      <c r="SHR18"/>
      <c r="SHS18" s="10">
        <v>-1.01</v>
      </c>
      <c r="SHT18" s="2" t="s">
        <v>65</v>
      </c>
      <c r="SHU18" t="s">
        <v>14</v>
      </c>
      <c r="SHV18" s="5">
        <v>43521</v>
      </c>
      <c r="SHW18" s="2" t="s">
        <v>68</v>
      </c>
      <c r="SHX18" s="7"/>
      <c r="SHY18"/>
      <c r="SHZ18"/>
      <c r="SIA18" s="10">
        <v>-1.01</v>
      </c>
      <c r="SIB18" s="2" t="s">
        <v>65</v>
      </c>
      <c r="SIC18" t="s">
        <v>14</v>
      </c>
      <c r="SID18" s="5">
        <v>43521</v>
      </c>
      <c r="SIE18" s="2" t="s">
        <v>68</v>
      </c>
      <c r="SIF18" s="7"/>
      <c r="SIG18"/>
      <c r="SIH18"/>
      <c r="SII18" s="10">
        <v>-1.01</v>
      </c>
      <c r="SIJ18" s="2" t="s">
        <v>65</v>
      </c>
      <c r="SIK18" t="s">
        <v>14</v>
      </c>
      <c r="SIL18" s="5">
        <v>43521</v>
      </c>
      <c r="SIM18" s="2" t="s">
        <v>68</v>
      </c>
      <c r="SIN18" s="7"/>
      <c r="SIO18"/>
      <c r="SIP18"/>
      <c r="SIQ18" s="10">
        <v>-1.01</v>
      </c>
      <c r="SIR18" s="2" t="s">
        <v>65</v>
      </c>
      <c r="SIS18" t="s">
        <v>14</v>
      </c>
      <c r="SIT18" s="5">
        <v>43521</v>
      </c>
      <c r="SIU18" s="2" t="s">
        <v>68</v>
      </c>
      <c r="SIV18" s="7"/>
      <c r="SIW18"/>
      <c r="SIX18"/>
      <c r="SIY18" s="10">
        <v>-1.01</v>
      </c>
      <c r="SIZ18" s="2" t="s">
        <v>65</v>
      </c>
      <c r="SJA18" t="s">
        <v>14</v>
      </c>
      <c r="SJB18" s="5">
        <v>43521</v>
      </c>
      <c r="SJC18" s="2" t="s">
        <v>68</v>
      </c>
      <c r="SJD18" s="7"/>
      <c r="SJE18"/>
      <c r="SJF18"/>
      <c r="SJG18" s="10">
        <v>-1.01</v>
      </c>
      <c r="SJH18" s="2" t="s">
        <v>65</v>
      </c>
      <c r="SJI18" t="s">
        <v>14</v>
      </c>
      <c r="SJJ18" s="5">
        <v>43521</v>
      </c>
      <c r="SJK18" s="2" t="s">
        <v>68</v>
      </c>
      <c r="SJL18" s="7"/>
      <c r="SJM18"/>
      <c r="SJN18"/>
      <c r="SJO18" s="10">
        <v>-1.01</v>
      </c>
      <c r="SJP18" s="2" t="s">
        <v>65</v>
      </c>
      <c r="SJQ18" t="s">
        <v>14</v>
      </c>
      <c r="SJR18" s="5">
        <v>43521</v>
      </c>
      <c r="SJS18" s="2" t="s">
        <v>68</v>
      </c>
      <c r="SJT18" s="7"/>
      <c r="SJU18"/>
      <c r="SJV18"/>
      <c r="SJW18" s="10">
        <v>-1.01</v>
      </c>
      <c r="SJX18" s="2" t="s">
        <v>65</v>
      </c>
      <c r="SJY18" t="s">
        <v>14</v>
      </c>
      <c r="SJZ18" s="5">
        <v>43521</v>
      </c>
      <c r="SKA18" s="2" t="s">
        <v>68</v>
      </c>
      <c r="SKB18" s="7"/>
      <c r="SKC18"/>
      <c r="SKD18"/>
      <c r="SKE18" s="10">
        <v>-1.01</v>
      </c>
      <c r="SKF18" s="2" t="s">
        <v>65</v>
      </c>
      <c r="SKG18" t="s">
        <v>14</v>
      </c>
      <c r="SKH18" s="5">
        <v>43521</v>
      </c>
      <c r="SKI18" s="2" t="s">
        <v>68</v>
      </c>
      <c r="SKJ18" s="7"/>
      <c r="SKK18"/>
      <c r="SKL18"/>
      <c r="SKM18" s="10">
        <v>-1.01</v>
      </c>
      <c r="SKN18" s="2" t="s">
        <v>65</v>
      </c>
      <c r="SKO18" t="s">
        <v>14</v>
      </c>
      <c r="SKP18" s="5">
        <v>43521</v>
      </c>
      <c r="SKQ18" s="2" t="s">
        <v>68</v>
      </c>
      <c r="SKR18" s="7"/>
      <c r="SKS18"/>
      <c r="SKT18"/>
      <c r="SKU18" s="10">
        <v>-1.01</v>
      </c>
      <c r="SKV18" s="2" t="s">
        <v>65</v>
      </c>
      <c r="SKW18" t="s">
        <v>14</v>
      </c>
      <c r="SKX18" s="5">
        <v>43521</v>
      </c>
      <c r="SKY18" s="2" t="s">
        <v>68</v>
      </c>
      <c r="SKZ18" s="7"/>
      <c r="SLA18"/>
      <c r="SLB18"/>
      <c r="SLC18" s="10">
        <v>-1.01</v>
      </c>
      <c r="SLD18" s="2" t="s">
        <v>65</v>
      </c>
      <c r="SLE18" t="s">
        <v>14</v>
      </c>
      <c r="SLF18" s="5">
        <v>43521</v>
      </c>
      <c r="SLG18" s="2" t="s">
        <v>68</v>
      </c>
      <c r="SLH18" s="7"/>
      <c r="SLI18"/>
      <c r="SLJ18"/>
      <c r="SLK18" s="10">
        <v>-1.01</v>
      </c>
      <c r="SLL18" s="2" t="s">
        <v>65</v>
      </c>
      <c r="SLM18" t="s">
        <v>14</v>
      </c>
      <c r="SLN18" s="5">
        <v>43521</v>
      </c>
      <c r="SLO18" s="2" t="s">
        <v>68</v>
      </c>
      <c r="SLP18" s="7"/>
      <c r="SLQ18"/>
      <c r="SLR18"/>
      <c r="SLS18" s="10">
        <v>-1.01</v>
      </c>
      <c r="SLT18" s="2" t="s">
        <v>65</v>
      </c>
      <c r="SLU18" t="s">
        <v>14</v>
      </c>
      <c r="SLV18" s="5">
        <v>43521</v>
      </c>
      <c r="SLW18" s="2" t="s">
        <v>68</v>
      </c>
      <c r="SLX18" s="7"/>
      <c r="SLY18"/>
      <c r="SLZ18"/>
      <c r="SMA18" s="10">
        <v>-1.01</v>
      </c>
      <c r="SMB18" s="2" t="s">
        <v>65</v>
      </c>
      <c r="SMC18" t="s">
        <v>14</v>
      </c>
      <c r="SMD18" s="5">
        <v>43521</v>
      </c>
      <c r="SME18" s="2" t="s">
        <v>68</v>
      </c>
      <c r="SMF18" s="7"/>
      <c r="SMG18"/>
      <c r="SMH18"/>
      <c r="SMI18" s="10">
        <v>-1.01</v>
      </c>
      <c r="SMJ18" s="2" t="s">
        <v>65</v>
      </c>
      <c r="SMK18" t="s">
        <v>14</v>
      </c>
      <c r="SML18" s="5">
        <v>43521</v>
      </c>
      <c r="SMM18" s="2" t="s">
        <v>68</v>
      </c>
      <c r="SMN18" s="7"/>
      <c r="SMO18"/>
      <c r="SMP18"/>
      <c r="SMQ18" s="10">
        <v>-1.01</v>
      </c>
      <c r="SMR18" s="2" t="s">
        <v>65</v>
      </c>
      <c r="SMS18" t="s">
        <v>14</v>
      </c>
      <c r="SMT18" s="5">
        <v>43521</v>
      </c>
      <c r="SMU18" s="2" t="s">
        <v>68</v>
      </c>
      <c r="SMV18" s="7"/>
      <c r="SMW18"/>
      <c r="SMX18"/>
      <c r="SMY18" s="10">
        <v>-1.01</v>
      </c>
      <c r="SMZ18" s="2" t="s">
        <v>65</v>
      </c>
      <c r="SNA18" t="s">
        <v>14</v>
      </c>
      <c r="SNB18" s="5">
        <v>43521</v>
      </c>
      <c r="SNC18" s="2" t="s">
        <v>68</v>
      </c>
      <c r="SND18" s="7"/>
      <c r="SNE18"/>
      <c r="SNF18"/>
      <c r="SNG18" s="10">
        <v>-1.01</v>
      </c>
      <c r="SNH18" s="2" t="s">
        <v>65</v>
      </c>
      <c r="SNI18" t="s">
        <v>14</v>
      </c>
      <c r="SNJ18" s="5">
        <v>43521</v>
      </c>
      <c r="SNK18" s="2" t="s">
        <v>68</v>
      </c>
      <c r="SNL18" s="7"/>
      <c r="SNM18"/>
      <c r="SNN18"/>
      <c r="SNO18" s="10">
        <v>-1.01</v>
      </c>
      <c r="SNP18" s="2" t="s">
        <v>65</v>
      </c>
      <c r="SNQ18" t="s">
        <v>14</v>
      </c>
      <c r="SNR18" s="5">
        <v>43521</v>
      </c>
      <c r="SNS18" s="2" t="s">
        <v>68</v>
      </c>
      <c r="SNT18" s="7"/>
      <c r="SNU18"/>
      <c r="SNV18"/>
      <c r="SNW18" s="10">
        <v>-1.01</v>
      </c>
      <c r="SNX18" s="2" t="s">
        <v>65</v>
      </c>
      <c r="SNY18" t="s">
        <v>14</v>
      </c>
      <c r="SNZ18" s="5">
        <v>43521</v>
      </c>
      <c r="SOA18" s="2" t="s">
        <v>68</v>
      </c>
      <c r="SOB18" s="7"/>
      <c r="SOC18"/>
      <c r="SOD18"/>
      <c r="SOE18" s="10">
        <v>-1.01</v>
      </c>
      <c r="SOF18" s="2" t="s">
        <v>65</v>
      </c>
      <c r="SOG18" t="s">
        <v>14</v>
      </c>
      <c r="SOH18" s="5">
        <v>43521</v>
      </c>
      <c r="SOI18" s="2" t="s">
        <v>68</v>
      </c>
      <c r="SOJ18" s="7"/>
      <c r="SOK18"/>
      <c r="SOL18"/>
      <c r="SOM18" s="10">
        <v>-1.01</v>
      </c>
      <c r="SON18" s="2" t="s">
        <v>65</v>
      </c>
      <c r="SOO18" t="s">
        <v>14</v>
      </c>
      <c r="SOP18" s="5">
        <v>43521</v>
      </c>
      <c r="SOQ18" s="2" t="s">
        <v>68</v>
      </c>
      <c r="SOR18" s="7"/>
      <c r="SOS18"/>
      <c r="SOT18"/>
      <c r="SOU18" s="10">
        <v>-1.01</v>
      </c>
      <c r="SOV18" s="2" t="s">
        <v>65</v>
      </c>
      <c r="SOW18" t="s">
        <v>14</v>
      </c>
      <c r="SOX18" s="5">
        <v>43521</v>
      </c>
      <c r="SOY18" s="2" t="s">
        <v>68</v>
      </c>
      <c r="SOZ18" s="7"/>
      <c r="SPA18"/>
      <c r="SPB18"/>
      <c r="SPC18" s="10">
        <v>-1.01</v>
      </c>
      <c r="SPD18" s="2" t="s">
        <v>65</v>
      </c>
      <c r="SPE18" t="s">
        <v>14</v>
      </c>
      <c r="SPF18" s="5">
        <v>43521</v>
      </c>
      <c r="SPG18" s="2" t="s">
        <v>68</v>
      </c>
      <c r="SPH18" s="7"/>
      <c r="SPI18"/>
      <c r="SPJ18"/>
      <c r="SPK18" s="10">
        <v>-1.01</v>
      </c>
      <c r="SPL18" s="2" t="s">
        <v>65</v>
      </c>
      <c r="SPM18" t="s">
        <v>14</v>
      </c>
      <c r="SPN18" s="5">
        <v>43521</v>
      </c>
      <c r="SPO18" s="2" t="s">
        <v>68</v>
      </c>
      <c r="SPP18" s="7"/>
      <c r="SPQ18"/>
      <c r="SPR18"/>
      <c r="SPS18" s="10">
        <v>-1.01</v>
      </c>
      <c r="SPT18" s="2" t="s">
        <v>65</v>
      </c>
      <c r="SPU18" t="s">
        <v>14</v>
      </c>
      <c r="SPV18" s="5">
        <v>43521</v>
      </c>
      <c r="SPW18" s="2" t="s">
        <v>68</v>
      </c>
      <c r="SPX18" s="7"/>
      <c r="SPY18"/>
      <c r="SPZ18"/>
      <c r="SQA18" s="10">
        <v>-1.01</v>
      </c>
      <c r="SQB18" s="2" t="s">
        <v>65</v>
      </c>
      <c r="SQC18" t="s">
        <v>14</v>
      </c>
      <c r="SQD18" s="5">
        <v>43521</v>
      </c>
      <c r="SQE18" s="2" t="s">
        <v>68</v>
      </c>
      <c r="SQF18" s="7"/>
      <c r="SQG18"/>
      <c r="SQH18"/>
      <c r="SQI18" s="10">
        <v>-1.01</v>
      </c>
      <c r="SQJ18" s="2" t="s">
        <v>65</v>
      </c>
      <c r="SQK18" t="s">
        <v>14</v>
      </c>
      <c r="SQL18" s="5">
        <v>43521</v>
      </c>
      <c r="SQM18" s="2" t="s">
        <v>68</v>
      </c>
      <c r="SQN18" s="7"/>
      <c r="SQO18"/>
      <c r="SQP18"/>
      <c r="SQQ18" s="10">
        <v>-1.01</v>
      </c>
      <c r="SQR18" s="2" t="s">
        <v>65</v>
      </c>
      <c r="SQS18" t="s">
        <v>14</v>
      </c>
      <c r="SQT18" s="5">
        <v>43521</v>
      </c>
      <c r="SQU18" s="2" t="s">
        <v>68</v>
      </c>
      <c r="SQV18" s="7"/>
      <c r="SQW18"/>
      <c r="SQX18"/>
      <c r="SQY18" s="10">
        <v>-1.01</v>
      </c>
      <c r="SQZ18" s="2" t="s">
        <v>65</v>
      </c>
      <c r="SRA18" t="s">
        <v>14</v>
      </c>
      <c r="SRB18" s="5">
        <v>43521</v>
      </c>
      <c r="SRC18" s="2" t="s">
        <v>68</v>
      </c>
      <c r="SRD18" s="7"/>
      <c r="SRE18"/>
      <c r="SRF18"/>
      <c r="SRG18" s="10">
        <v>-1.01</v>
      </c>
      <c r="SRH18" s="2" t="s">
        <v>65</v>
      </c>
      <c r="SRI18" t="s">
        <v>14</v>
      </c>
      <c r="SRJ18" s="5">
        <v>43521</v>
      </c>
      <c r="SRK18" s="2" t="s">
        <v>68</v>
      </c>
      <c r="SRL18" s="7"/>
      <c r="SRM18"/>
      <c r="SRN18"/>
      <c r="SRO18" s="10">
        <v>-1.01</v>
      </c>
      <c r="SRP18" s="2" t="s">
        <v>65</v>
      </c>
      <c r="SRQ18" t="s">
        <v>14</v>
      </c>
      <c r="SRR18" s="5">
        <v>43521</v>
      </c>
      <c r="SRS18" s="2" t="s">
        <v>68</v>
      </c>
      <c r="SRT18" s="7"/>
      <c r="SRU18"/>
      <c r="SRV18"/>
      <c r="SRW18" s="10">
        <v>-1.01</v>
      </c>
      <c r="SRX18" s="2" t="s">
        <v>65</v>
      </c>
      <c r="SRY18" t="s">
        <v>14</v>
      </c>
      <c r="SRZ18" s="5">
        <v>43521</v>
      </c>
      <c r="SSA18" s="2" t="s">
        <v>68</v>
      </c>
      <c r="SSB18" s="7"/>
      <c r="SSC18"/>
      <c r="SSD18"/>
      <c r="SSE18" s="10">
        <v>-1.01</v>
      </c>
      <c r="SSF18" s="2" t="s">
        <v>65</v>
      </c>
      <c r="SSG18" t="s">
        <v>14</v>
      </c>
      <c r="SSH18" s="5">
        <v>43521</v>
      </c>
      <c r="SSI18" s="2" t="s">
        <v>68</v>
      </c>
      <c r="SSJ18" s="7"/>
      <c r="SSK18"/>
      <c r="SSL18"/>
      <c r="SSM18" s="10">
        <v>-1.01</v>
      </c>
      <c r="SSN18" s="2" t="s">
        <v>65</v>
      </c>
      <c r="SSO18" t="s">
        <v>14</v>
      </c>
      <c r="SSP18" s="5">
        <v>43521</v>
      </c>
      <c r="SSQ18" s="2" t="s">
        <v>68</v>
      </c>
      <c r="SSR18" s="7"/>
      <c r="SSS18"/>
      <c r="SST18"/>
      <c r="SSU18" s="10">
        <v>-1.01</v>
      </c>
      <c r="SSV18" s="2" t="s">
        <v>65</v>
      </c>
      <c r="SSW18" t="s">
        <v>14</v>
      </c>
      <c r="SSX18" s="5">
        <v>43521</v>
      </c>
      <c r="SSY18" s="2" t="s">
        <v>68</v>
      </c>
      <c r="SSZ18" s="7"/>
      <c r="STA18"/>
      <c r="STB18"/>
      <c r="STC18" s="10">
        <v>-1.01</v>
      </c>
      <c r="STD18" s="2" t="s">
        <v>65</v>
      </c>
      <c r="STE18" t="s">
        <v>14</v>
      </c>
      <c r="STF18" s="5">
        <v>43521</v>
      </c>
      <c r="STG18" s="2" t="s">
        <v>68</v>
      </c>
      <c r="STH18" s="7"/>
      <c r="STI18"/>
      <c r="STJ18"/>
      <c r="STK18" s="10">
        <v>-1.01</v>
      </c>
      <c r="STL18" s="2" t="s">
        <v>65</v>
      </c>
      <c r="STM18" t="s">
        <v>14</v>
      </c>
      <c r="STN18" s="5">
        <v>43521</v>
      </c>
      <c r="STO18" s="2" t="s">
        <v>68</v>
      </c>
      <c r="STP18" s="7"/>
      <c r="STQ18"/>
      <c r="STR18"/>
      <c r="STS18" s="10">
        <v>-1.01</v>
      </c>
      <c r="STT18" s="2" t="s">
        <v>65</v>
      </c>
      <c r="STU18" t="s">
        <v>14</v>
      </c>
      <c r="STV18" s="5">
        <v>43521</v>
      </c>
      <c r="STW18" s="2" t="s">
        <v>68</v>
      </c>
      <c r="STX18" s="7"/>
      <c r="STY18"/>
      <c r="STZ18"/>
      <c r="SUA18" s="10">
        <v>-1.01</v>
      </c>
      <c r="SUB18" s="2" t="s">
        <v>65</v>
      </c>
      <c r="SUC18" t="s">
        <v>14</v>
      </c>
      <c r="SUD18" s="5">
        <v>43521</v>
      </c>
      <c r="SUE18" s="2" t="s">
        <v>68</v>
      </c>
      <c r="SUF18" s="7"/>
      <c r="SUG18"/>
      <c r="SUH18"/>
      <c r="SUI18" s="10">
        <v>-1.01</v>
      </c>
      <c r="SUJ18" s="2" t="s">
        <v>65</v>
      </c>
      <c r="SUK18" t="s">
        <v>14</v>
      </c>
      <c r="SUL18" s="5">
        <v>43521</v>
      </c>
      <c r="SUM18" s="2" t="s">
        <v>68</v>
      </c>
      <c r="SUN18" s="7"/>
      <c r="SUO18"/>
      <c r="SUP18"/>
      <c r="SUQ18" s="10">
        <v>-1.01</v>
      </c>
      <c r="SUR18" s="2" t="s">
        <v>65</v>
      </c>
      <c r="SUS18" t="s">
        <v>14</v>
      </c>
      <c r="SUT18" s="5">
        <v>43521</v>
      </c>
      <c r="SUU18" s="2" t="s">
        <v>68</v>
      </c>
      <c r="SUV18" s="7"/>
      <c r="SUW18"/>
      <c r="SUX18"/>
      <c r="SUY18" s="10">
        <v>-1.01</v>
      </c>
      <c r="SUZ18" s="2" t="s">
        <v>65</v>
      </c>
      <c r="SVA18" t="s">
        <v>14</v>
      </c>
      <c r="SVB18" s="5">
        <v>43521</v>
      </c>
      <c r="SVC18" s="2" t="s">
        <v>68</v>
      </c>
      <c r="SVD18" s="7"/>
      <c r="SVE18"/>
      <c r="SVF18"/>
      <c r="SVG18" s="10">
        <v>-1.01</v>
      </c>
      <c r="SVH18" s="2" t="s">
        <v>65</v>
      </c>
      <c r="SVI18" t="s">
        <v>14</v>
      </c>
      <c r="SVJ18" s="5">
        <v>43521</v>
      </c>
      <c r="SVK18" s="2" t="s">
        <v>68</v>
      </c>
      <c r="SVL18" s="7"/>
      <c r="SVM18"/>
      <c r="SVN18"/>
      <c r="SVO18" s="10">
        <v>-1.01</v>
      </c>
      <c r="SVP18" s="2" t="s">
        <v>65</v>
      </c>
      <c r="SVQ18" t="s">
        <v>14</v>
      </c>
      <c r="SVR18" s="5">
        <v>43521</v>
      </c>
      <c r="SVS18" s="2" t="s">
        <v>68</v>
      </c>
      <c r="SVT18" s="7"/>
      <c r="SVU18"/>
      <c r="SVV18"/>
      <c r="SVW18" s="10">
        <v>-1.01</v>
      </c>
      <c r="SVX18" s="2" t="s">
        <v>65</v>
      </c>
      <c r="SVY18" t="s">
        <v>14</v>
      </c>
      <c r="SVZ18" s="5">
        <v>43521</v>
      </c>
      <c r="SWA18" s="2" t="s">
        <v>68</v>
      </c>
      <c r="SWB18" s="7"/>
      <c r="SWC18"/>
      <c r="SWD18"/>
      <c r="SWE18" s="10">
        <v>-1.01</v>
      </c>
      <c r="SWF18" s="2" t="s">
        <v>65</v>
      </c>
      <c r="SWG18" t="s">
        <v>14</v>
      </c>
      <c r="SWH18" s="5">
        <v>43521</v>
      </c>
      <c r="SWI18" s="2" t="s">
        <v>68</v>
      </c>
      <c r="SWJ18" s="7"/>
      <c r="SWK18"/>
      <c r="SWL18"/>
      <c r="SWM18" s="10">
        <v>-1.01</v>
      </c>
      <c r="SWN18" s="2" t="s">
        <v>65</v>
      </c>
      <c r="SWO18" t="s">
        <v>14</v>
      </c>
      <c r="SWP18" s="5">
        <v>43521</v>
      </c>
      <c r="SWQ18" s="2" t="s">
        <v>68</v>
      </c>
      <c r="SWR18" s="7"/>
      <c r="SWS18"/>
      <c r="SWT18"/>
      <c r="SWU18" s="10">
        <v>-1.01</v>
      </c>
      <c r="SWV18" s="2" t="s">
        <v>65</v>
      </c>
      <c r="SWW18" t="s">
        <v>14</v>
      </c>
      <c r="SWX18" s="5">
        <v>43521</v>
      </c>
      <c r="SWY18" s="2" t="s">
        <v>68</v>
      </c>
      <c r="SWZ18" s="7"/>
      <c r="SXA18"/>
      <c r="SXB18"/>
      <c r="SXC18" s="10">
        <v>-1.01</v>
      </c>
      <c r="SXD18" s="2" t="s">
        <v>65</v>
      </c>
      <c r="SXE18" t="s">
        <v>14</v>
      </c>
      <c r="SXF18" s="5">
        <v>43521</v>
      </c>
      <c r="SXG18" s="2" t="s">
        <v>68</v>
      </c>
      <c r="SXH18" s="7"/>
      <c r="SXI18"/>
      <c r="SXJ18"/>
      <c r="SXK18" s="10">
        <v>-1.01</v>
      </c>
      <c r="SXL18" s="2" t="s">
        <v>65</v>
      </c>
      <c r="SXM18" t="s">
        <v>14</v>
      </c>
      <c r="SXN18" s="5">
        <v>43521</v>
      </c>
      <c r="SXO18" s="2" t="s">
        <v>68</v>
      </c>
      <c r="SXP18" s="7"/>
      <c r="SXQ18"/>
      <c r="SXR18"/>
      <c r="SXS18" s="10">
        <v>-1.01</v>
      </c>
      <c r="SXT18" s="2" t="s">
        <v>65</v>
      </c>
      <c r="SXU18" t="s">
        <v>14</v>
      </c>
      <c r="SXV18" s="5">
        <v>43521</v>
      </c>
      <c r="SXW18" s="2" t="s">
        <v>68</v>
      </c>
      <c r="SXX18" s="7"/>
      <c r="SXY18"/>
      <c r="SXZ18"/>
      <c r="SYA18" s="10">
        <v>-1.01</v>
      </c>
      <c r="SYB18" s="2" t="s">
        <v>65</v>
      </c>
      <c r="SYC18" t="s">
        <v>14</v>
      </c>
      <c r="SYD18" s="5">
        <v>43521</v>
      </c>
      <c r="SYE18" s="2" t="s">
        <v>68</v>
      </c>
      <c r="SYF18" s="7"/>
      <c r="SYG18"/>
      <c r="SYH18"/>
      <c r="SYI18" s="10">
        <v>-1.01</v>
      </c>
      <c r="SYJ18" s="2" t="s">
        <v>65</v>
      </c>
      <c r="SYK18" t="s">
        <v>14</v>
      </c>
      <c r="SYL18" s="5">
        <v>43521</v>
      </c>
      <c r="SYM18" s="2" t="s">
        <v>68</v>
      </c>
      <c r="SYN18" s="7"/>
      <c r="SYO18"/>
      <c r="SYP18"/>
      <c r="SYQ18" s="10">
        <v>-1.01</v>
      </c>
      <c r="SYR18" s="2" t="s">
        <v>65</v>
      </c>
      <c r="SYS18" t="s">
        <v>14</v>
      </c>
      <c r="SYT18" s="5">
        <v>43521</v>
      </c>
      <c r="SYU18" s="2" t="s">
        <v>68</v>
      </c>
      <c r="SYV18" s="7"/>
      <c r="SYW18"/>
      <c r="SYX18"/>
      <c r="SYY18" s="10">
        <v>-1.01</v>
      </c>
      <c r="SYZ18" s="2" t="s">
        <v>65</v>
      </c>
      <c r="SZA18" t="s">
        <v>14</v>
      </c>
      <c r="SZB18" s="5">
        <v>43521</v>
      </c>
      <c r="SZC18" s="2" t="s">
        <v>68</v>
      </c>
      <c r="SZD18" s="7"/>
      <c r="SZE18"/>
      <c r="SZF18"/>
      <c r="SZG18" s="10">
        <v>-1.01</v>
      </c>
      <c r="SZH18" s="2" t="s">
        <v>65</v>
      </c>
      <c r="SZI18" t="s">
        <v>14</v>
      </c>
      <c r="SZJ18" s="5">
        <v>43521</v>
      </c>
      <c r="SZK18" s="2" t="s">
        <v>68</v>
      </c>
      <c r="SZL18" s="7"/>
      <c r="SZM18"/>
      <c r="SZN18"/>
      <c r="SZO18" s="10">
        <v>-1.01</v>
      </c>
      <c r="SZP18" s="2" t="s">
        <v>65</v>
      </c>
      <c r="SZQ18" t="s">
        <v>14</v>
      </c>
      <c r="SZR18" s="5">
        <v>43521</v>
      </c>
      <c r="SZS18" s="2" t="s">
        <v>68</v>
      </c>
      <c r="SZT18" s="7"/>
      <c r="SZU18"/>
      <c r="SZV18"/>
      <c r="SZW18" s="10">
        <v>-1.01</v>
      </c>
      <c r="SZX18" s="2" t="s">
        <v>65</v>
      </c>
      <c r="SZY18" t="s">
        <v>14</v>
      </c>
      <c r="SZZ18" s="5">
        <v>43521</v>
      </c>
      <c r="TAA18" s="2" t="s">
        <v>68</v>
      </c>
      <c r="TAB18" s="7"/>
      <c r="TAC18"/>
      <c r="TAD18"/>
      <c r="TAE18" s="10">
        <v>-1.01</v>
      </c>
      <c r="TAF18" s="2" t="s">
        <v>65</v>
      </c>
      <c r="TAG18" t="s">
        <v>14</v>
      </c>
      <c r="TAH18" s="5">
        <v>43521</v>
      </c>
      <c r="TAI18" s="2" t="s">
        <v>68</v>
      </c>
      <c r="TAJ18" s="7"/>
      <c r="TAK18"/>
      <c r="TAL18"/>
      <c r="TAM18" s="10">
        <v>-1.01</v>
      </c>
      <c r="TAN18" s="2" t="s">
        <v>65</v>
      </c>
      <c r="TAO18" t="s">
        <v>14</v>
      </c>
      <c r="TAP18" s="5">
        <v>43521</v>
      </c>
      <c r="TAQ18" s="2" t="s">
        <v>68</v>
      </c>
      <c r="TAR18" s="7"/>
      <c r="TAS18"/>
      <c r="TAT18"/>
      <c r="TAU18" s="10">
        <v>-1.01</v>
      </c>
      <c r="TAV18" s="2" t="s">
        <v>65</v>
      </c>
      <c r="TAW18" t="s">
        <v>14</v>
      </c>
      <c r="TAX18" s="5">
        <v>43521</v>
      </c>
      <c r="TAY18" s="2" t="s">
        <v>68</v>
      </c>
      <c r="TAZ18" s="7"/>
      <c r="TBA18"/>
      <c r="TBB18"/>
      <c r="TBC18" s="10">
        <v>-1.01</v>
      </c>
      <c r="TBD18" s="2" t="s">
        <v>65</v>
      </c>
      <c r="TBE18" t="s">
        <v>14</v>
      </c>
      <c r="TBF18" s="5">
        <v>43521</v>
      </c>
      <c r="TBG18" s="2" t="s">
        <v>68</v>
      </c>
      <c r="TBH18" s="7"/>
      <c r="TBI18"/>
      <c r="TBJ18"/>
      <c r="TBK18" s="10">
        <v>-1.01</v>
      </c>
      <c r="TBL18" s="2" t="s">
        <v>65</v>
      </c>
      <c r="TBM18" t="s">
        <v>14</v>
      </c>
      <c r="TBN18" s="5">
        <v>43521</v>
      </c>
      <c r="TBO18" s="2" t="s">
        <v>68</v>
      </c>
      <c r="TBP18" s="7"/>
      <c r="TBQ18"/>
      <c r="TBR18"/>
      <c r="TBS18" s="10">
        <v>-1.01</v>
      </c>
      <c r="TBT18" s="2" t="s">
        <v>65</v>
      </c>
      <c r="TBU18" t="s">
        <v>14</v>
      </c>
      <c r="TBV18" s="5">
        <v>43521</v>
      </c>
      <c r="TBW18" s="2" t="s">
        <v>68</v>
      </c>
      <c r="TBX18" s="7"/>
      <c r="TBY18"/>
      <c r="TBZ18"/>
      <c r="TCA18" s="10">
        <v>-1.01</v>
      </c>
      <c r="TCB18" s="2" t="s">
        <v>65</v>
      </c>
      <c r="TCC18" t="s">
        <v>14</v>
      </c>
      <c r="TCD18" s="5">
        <v>43521</v>
      </c>
      <c r="TCE18" s="2" t="s">
        <v>68</v>
      </c>
      <c r="TCF18" s="7"/>
      <c r="TCG18"/>
      <c r="TCH18"/>
      <c r="TCI18" s="10">
        <v>-1.01</v>
      </c>
      <c r="TCJ18" s="2" t="s">
        <v>65</v>
      </c>
      <c r="TCK18" t="s">
        <v>14</v>
      </c>
      <c r="TCL18" s="5">
        <v>43521</v>
      </c>
      <c r="TCM18" s="2" t="s">
        <v>68</v>
      </c>
      <c r="TCN18" s="7"/>
      <c r="TCO18"/>
      <c r="TCP18"/>
      <c r="TCQ18" s="10">
        <v>-1.01</v>
      </c>
      <c r="TCR18" s="2" t="s">
        <v>65</v>
      </c>
      <c r="TCS18" t="s">
        <v>14</v>
      </c>
      <c r="TCT18" s="5">
        <v>43521</v>
      </c>
      <c r="TCU18" s="2" t="s">
        <v>68</v>
      </c>
      <c r="TCV18" s="7"/>
      <c r="TCW18"/>
      <c r="TCX18"/>
      <c r="TCY18" s="10">
        <v>-1.01</v>
      </c>
      <c r="TCZ18" s="2" t="s">
        <v>65</v>
      </c>
      <c r="TDA18" t="s">
        <v>14</v>
      </c>
      <c r="TDB18" s="5">
        <v>43521</v>
      </c>
      <c r="TDC18" s="2" t="s">
        <v>68</v>
      </c>
      <c r="TDD18" s="7"/>
      <c r="TDE18"/>
      <c r="TDF18"/>
      <c r="TDG18" s="10">
        <v>-1.01</v>
      </c>
      <c r="TDH18" s="2" t="s">
        <v>65</v>
      </c>
      <c r="TDI18" t="s">
        <v>14</v>
      </c>
      <c r="TDJ18" s="5">
        <v>43521</v>
      </c>
      <c r="TDK18" s="2" t="s">
        <v>68</v>
      </c>
      <c r="TDL18" s="7"/>
      <c r="TDM18"/>
      <c r="TDN18"/>
      <c r="TDO18" s="10">
        <v>-1.01</v>
      </c>
      <c r="TDP18" s="2" t="s">
        <v>65</v>
      </c>
      <c r="TDQ18" t="s">
        <v>14</v>
      </c>
      <c r="TDR18" s="5">
        <v>43521</v>
      </c>
      <c r="TDS18" s="2" t="s">
        <v>68</v>
      </c>
      <c r="TDT18" s="7"/>
      <c r="TDU18"/>
      <c r="TDV18"/>
      <c r="TDW18" s="10">
        <v>-1.01</v>
      </c>
      <c r="TDX18" s="2" t="s">
        <v>65</v>
      </c>
      <c r="TDY18" t="s">
        <v>14</v>
      </c>
      <c r="TDZ18" s="5">
        <v>43521</v>
      </c>
      <c r="TEA18" s="2" t="s">
        <v>68</v>
      </c>
      <c r="TEB18" s="7"/>
      <c r="TEC18"/>
      <c r="TED18"/>
      <c r="TEE18" s="10">
        <v>-1.01</v>
      </c>
      <c r="TEF18" s="2" t="s">
        <v>65</v>
      </c>
      <c r="TEG18" t="s">
        <v>14</v>
      </c>
      <c r="TEH18" s="5">
        <v>43521</v>
      </c>
      <c r="TEI18" s="2" t="s">
        <v>68</v>
      </c>
      <c r="TEJ18" s="7"/>
      <c r="TEK18"/>
      <c r="TEL18"/>
      <c r="TEM18" s="10">
        <v>-1.01</v>
      </c>
      <c r="TEN18" s="2" t="s">
        <v>65</v>
      </c>
      <c r="TEO18" t="s">
        <v>14</v>
      </c>
      <c r="TEP18" s="5">
        <v>43521</v>
      </c>
      <c r="TEQ18" s="2" t="s">
        <v>68</v>
      </c>
      <c r="TER18" s="7"/>
      <c r="TES18"/>
      <c r="TET18"/>
      <c r="TEU18" s="10">
        <v>-1.01</v>
      </c>
      <c r="TEV18" s="2" t="s">
        <v>65</v>
      </c>
      <c r="TEW18" t="s">
        <v>14</v>
      </c>
      <c r="TEX18" s="5">
        <v>43521</v>
      </c>
      <c r="TEY18" s="2" t="s">
        <v>68</v>
      </c>
      <c r="TEZ18" s="7"/>
      <c r="TFA18"/>
      <c r="TFB18"/>
      <c r="TFC18" s="10">
        <v>-1.01</v>
      </c>
      <c r="TFD18" s="2" t="s">
        <v>65</v>
      </c>
      <c r="TFE18" t="s">
        <v>14</v>
      </c>
      <c r="TFF18" s="5">
        <v>43521</v>
      </c>
      <c r="TFG18" s="2" t="s">
        <v>68</v>
      </c>
      <c r="TFH18" s="7"/>
      <c r="TFI18"/>
      <c r="TFJ18"/>
      <c r="TFK18" s="10">
        <v>-1.01</v>
      </c>
      <c r="TFL18" s="2" t="s">
        <v>65</v>
      </c>
      <c r="TFM18" t="s">
        <v>14</v>
      </c>
      <c r="TFN18" s="5">
        <v>43521</v>
      </c>
      <c r="TFO18" s="2" t="s">
        <v>68</v>
      </c>
      <c r="TFP18" s="7"/>
      <c r="TFQ18"/>
      <c r="TFR18"/>
      <c r="TFS18" s="10">
        <v>-1.01</v>
      </c>
      <c r="TFT18" s="2" t="s">
        <v>65</v>
      </c>
      <c r="TFU18" t="s">
        <v>14</v>
      </c>
      <c r="TFV18" s="5">
        <v>43521</v>
      </c>
      <c r="TFW18" s="2" t="s">
        <v>68</v>
      </c>
      <c r="TFX18" s="7"/>
      <c r="TFY18"/>
      <c r="TFZ18"/>
      <c r="TGA18" s="10">
        <v>-1.01</v>
      </c>
      <c r="TGB18" s="2" t="s">
        <v>65</v>
      </c>
      <c r="TGC18" t="s">
        <v>14</v>
      </c>
      <c r="TGD18" s="5">
        <v>43521</v>
      </c>
      <c r="TGE18" s="2" t="s">
        <v>68</v>
      </c>
      <c r="TGF18" s="7"/>
      <c r="TGG18"/>
      <c r="TGH18"/>
      <c r="TGI18" s="10">
        <v>-1.01</v>
      </c>
      <c r="TGJ18" s="2" t="s">
        <v>65</v>
      </c>
      <c r="TGK18" t="s">
        <v>14</v>
      </c>
      <c r="TGL18" s="5">
        <v>43521</v>
      </c>
      <c r="TGM18" s="2" t="s">
        <v>68</v>
      </c>
      <c r="TGN18" s="7"/>
      <c r="TGO18"/>
      <c r="TGP18"/>
      <c r="TGQ18" s="10">
        <v>-1.01</v>
      </c>
      <c r="TGR18" s="2" t="s">
        <v>65</v>
      </c>
      <c r="TGS18" t="s">
        <v>14</v>
      </c>
      <c r="TGT18" s="5">
        <v>43521</v>
      </c>
      <c r="TGU18" s="2" t="s">
        <v>68</v>
      </c>
      <c r="TGV18" s="7"/>
      <c r="TGW18"/>
      <c r="TGX18"/>
      <c r="TGY18" s="10">
        <v>-1.01</v>
      </c>
      <c r="TGZ18" s="2" t="s">
        <v>65</v>
      </c>
      <c r="THA18" t="s">
        <v>14</v>
      </c>
      <c r="THB18" s="5">
        <v>43521</v>
      </c>
      <c r="THC18" s="2" t="s">
        <v>68</v>
      </c>
      <c r="THD18" s="7"/>
      <c r="THE18"/>
      <c r="THF18"/>
      <c r="THG18" s="10">
        <v>-1.01</v>
      </c>
      <c r="THH18" s="2" t="s">
        <v>65</v>
      </c>
      <c r="THI18" t="s">
        <v>14</v>
      </c>
      <c r="THJ18" s="5">
        <v>43521</v>
      </c>
      <c r="THK18" s="2" t="s">
        <v>68</v>
      </c>
      <c r="THL18" s="7"/>
      <c r="THM18"/>
      <c r="THN18"/>
      <c r="THO18" s="10">
        <v>-1.01</v>
      </c>
      <c r="THP18" s="2" t="s">
        <v>65</v>
      </c>
      <c r="THQ18" t="s">
        <v>14</v>
      </c>
      <c r="THR18" s="5">
        <v>43521</v>
      </c>
      <c r="THS18" s="2" t="s">
        <v>68</v>
      </c>
      <c r="THT18" s="7"/>
      <c r="THU18"/>
      <c r="THV18"/>
      <c r="THW18" s="10">
        <v>-1.01</v>
      </c>
      <c r="THX18" s="2" t="s">
        <v>65</v>
      </c>
      <c r="THY18" t="s">
        <v>14</v>
      </c>
      <c r="THZ18" s="5">
        <v>43521</v>
      </c>
      <c r="TIA18" s="2" t="s">
        <v>68</v>
      </c>
      <c r="TIB18" s="7"/>
      <c r="TIC18"/>
      <c r="TID18"/>
      <c r="TIE18" s="10">
        <v>-1.01</v>
      </c>
      <c r="TIF18" s="2" t="s">
        <v>65</v>
      </c>
      <c r="TIG18" t="s">
        <v>14</v>
      </c>
      <c r="TIH18" s="5">
        <v>43521</v>
      </c>
      <c r="TII18" s="2" t="s">
        <v>68</v>
      </c>
      <c r="TIJ18" s="7"/>
      <c r="TIK18"/>
      <c r="TIL18"/>
      <c r="TIM18" s="10">
        <v>-1.01</v>
      </c>
      <c r="TIN18" s="2" t="s">
        <v>65</v>
      </c>
      <c r="TIO18" t="s">
        <v>14</v>
      </c>
      <c r="TIP18" s="5">
        <v>43521</v>
      </c>
      <c r="TIQ18" s="2" t="s">
        <v>68</v>
      </c>
      <c r="TIR18" s="7"/>
      <c r="TIS18"/>
      <c r="TIT18"/>
      <c r="TIU18" s="10">
        <v>-1.01</v>
      </c>
      <c r="TIV18" s="2" t="s">
        <v>65</v>
      </c>
      <c r="TIW18" t="s">
        <v>14</v>
      </c>
      <c r="TIX18" s="5">
        <v>43521</v>
      </c>
      <c r="TIY18" s="2" t="s">
        <v>68</v>
      </c>
      <c r="TIZ18" s="7"/>
      <c r="TJA18"/>
      <c r="TJB18"/>
      <c r="TJC18" s="10">
        <v>-1.01</v>
      </c>
      <c r="TJD18" s="2" t="s">
        <v>65</v>
      </c>
      <c r="TJE18" t="s">
        <v>14</v>
      </c>
      <c r="TJF18" s="5">
        <v>43521</v>
      </c>
      <c r="TJG18" s="2" t="s">
        <v>68</v>
      </c>
      <c r="TJH18" s="7"/>
      <c r="TJI18"/>
      <c r="TJJ18"/>
      <c r="TJK18" s="10">
        <v>-1.01</v>
      </c>
      <c r="TJL18" s="2" t="s">
        <v>65</v>
      </c>
      <c r="TJM18" t="s">
        <v>14</v>
      </c>
      <c r="TJN18" s="5">
        <v>43521</v>
      </c>
      <c r="TJO18" s="2" t="s">
        <v>68</v>
      </c>
      <c r="TJP18" s="7"/>
      <c r="TJQ18"/>
      <c r="TJR18"/>
      <c r="TJS18" s="10">
        <v>-1.01</v>
      </c>
      <c r="TJT18" s="2" t="s">
        <v>65</v>
      </c>
      <c r="TJU18" t="s">
        <v>14</v>
      </c>
      <c r="TJV18" s="5">
        <v>43521</v>
      </c>
      <c r="TJW18" s="2" t="s">
        <v>68</v>
      </c>
      <c r="TJX18" s="7"/>
      <c r="TJY18"/>
      <c r="TJZ18"/>
      <c r="TKA18" s="10">
        <v>-1.01</v>
      </c>
      <c r="TKB18" s="2" t="s">
        <v>65</v>
      </c>
      <c r="TKC18" t="s">
        <v>14</v>
      </c>
      <c r="TKD18" s="5">
        <v>43521</v>
      </c>
      <c r="TKE18" s="2" t="s">
        <v>68</v>
      </c>
      <c r="TKF18" s="7"/>
      <c r="TKG18"/>
      <c r="TKH18"/>
      <c r="TKI18" s="10">
        <v>-1.01</v>
      </c>
      <c r="TKJ18" s="2" t="s">
        <v>65</v>
      </c>
      <c r="TKK18" t="s">
        <v>14</v>
      </c>
      <c r="TKL18" s="5">
        <v>43521</v>
      </c>
      <c r="TKM18" s="2" t="s">
        <v>68</v>
      </c>
      <c r="TKN18" s="7"/>
      <c r="TKO18"/>
      <c r="TKP18"/>
      <c r="TKQ18" s="10">
        <v>-1.01</v>
      </c>
      <c r="TKR18" s="2" t="s">
        <v>65</v>
      </c>
      <c r="TKS18" t="s">
        <v>14</v>
      </c>
      <c r="TKT18" s="5">
        <v>43521</v>
      </c>
      <c r="TKU18" s="2" t="s">
        <v>68</v>
      </c>
      <c r="TKV18" s="7"/>
      <c r="TKW18"/>
      <c r="TKX18"/>
      <c r="TKY18" s="10">
        <v>-1.01</v>
      </c>
      <c r="TKZ18" s="2" t="s">
        <v>65</v>
      </c>
      <c r="TLA18" t="s">
        <v>14</v>
      </c>
      <c r="TLB18" s="5">
        <v>43521</v>
      </c>
      <c r="TLC18" s="2" t="s">
        <v>68</v>
      </c>
      <c r="TLD18" s="7"/>
      <c r="TLE18"/>
      <c r="TLF18"/>
      <c r="TLG18" s="10">
        <v>-1.01</v>
      </c>
      <c r="TLH18" s="2" t="s">
        <v>65</v>
      </c>
      <c r="TLI18" t="s">
        <v>14</v>
      </c>
      <c r="TLJ18" s="5">
        <v>43521</v>
      </c>
      <c r="TLK18" s="2" t="s">
        <v>68</v>
      </c>
      <c r="TLL18" s="7"/>
      <c r="TLM18"/>
      <c r="TLN18"/>
      <c r="TLO18" s="10">
        <v>-1.01</v>
      </c>
      <c r="TLP18" s="2" t="s">
        <v>65</v>
      </c>
      <c r="TLQ18" t="s">
        <v>14</v>
      </c>
      <c r="TLR18" s="5">
        <v>43521</v>
      </c>
      <c r="TLS18" s="2" t="s">
        <v>68</v>
      </c>
      <c r="TLT18" s="7"/>
      <c r="TLU18"/>
      <c r="TLV18"/>
      <c r="TLW18" s="10">
        <v>-1.01</v>
      </c>
      <c r="TLX18" s="2" t="s">
        <v>65</v>
      </c>
      <c r="TLY18" t="s">
        <v>14</v>
      </c>
      <c r="TLZ18" s="5">
        <v>43521</v>
      </c>
      <c r="TMA18" s="2" t="s">
        <v>68</v>
      </c>
      <c r="TMB18" s="7"/>
      <c r="TMC18"/>
      <c r="TMD18"/>
      <c r="TME18" s="10">
        <v>-1.01</v>
      </c>
      <c r="TMF18" s="2" t="s">
        <v>65</v>
      </c>
      <c r="TMG18" t="s">
        <v>14</v>
      </c>
      <c r="TMH18" s="5">
        <v>43521</v>
      </c>
      <c r="TMI18" s="2" t="s">
        <v>68</v>
      </c>
      <c r="TMJ18" s="7"/>
      <c r="TMK18"/>
      <c r="TML18"/>
      <c r="TMM18" s="10">
        <v>-1.01</v>
      </c>
      <c r="TMN18" s="2" t="s">
        <v>65</v>
      </c>
      <c r="TMO18" t="s">
        <v>14</v>
      </c>
      <c r="TMP18" s="5">
        <v>43521</v>
      </c>
      <c r="TMQ18" s="2" t="s">
        <v>68</v>
      </c>
      <c r="TMR18" s="7"/>
      <c r="TMS18"/>
      <c r="TMT18"/>
      <c r="TMU18" s="10">
        <v>-1.01</v>
      </c>
      <c r="TMV18" s="2" t="s">
        <v>65</v>
      </c>
      <c r="TMW18" t="s">
        <v>14</v>
      </c>
      <c r="TMX18" s="5">
        <v>43521</v>
      </c>
      <c r="TMY18" s="2" t="s">
        <v>68</v>
      </c>
      <c r="TMZ18" s="7"/>
      <c r="TNA18"/>
      <c r="TNB18"/>
      <c r="TNC18" s="10">
        <v>-1.01</v>
      </c>
      <c r="TND18" s="2" t="s">
        <v>65</v>
      </c>
      <c r="TNE18" t="s">
        <v>14</v>
      </c>
      <c r="TNF18" s="5">
        <v>43521</v>
      </c>
      <c r="TNG18" s="2" t="s">
        <v>68</v>
      </c>
      <c r="TNH18" s="7"/>
      <c r="TNI18"/>
      <c r="TNJ18"/>
      <c r="TNK18" s="10">
        <v>-1.01</v>
      </c>
      <c r="TNL18" s="2" t="s">
        <v>65</v>
      </c>
      <c r="TNM18" t="s">
        <v>14</v>
      </c>
      <c r="TNN18" s="5">
        <v>43521</v>
      </c>
      <c r="TNO18" s="2" t="s">
        <v>68</v>
      </c>
      <c r="TNP18" s="7"/>
      <c r="TNQ18"/>
      <c r="TNR18"/>
      <c r="TNS18" s="10">
        <v>-1.01</v>
      </c>
      <c r="TNT18" s="2" t="s">
        <v>65</v>
      </c>
      <c r="TNU18" t="s">
        <v>14</v>
      </c>
      <c r="TNV18" s="5">
        <v>43521</v>
      </c>
      <c r="TNW18" s="2" t="s">
        <v>68</v>
      </c>
      <c r="TNX18" s="7"/>
      <c r="TNY18"/>
      <c r="TNZ18"/>
      <c r="TOA18" s="10">
        <v>-1.01</v>
      </c>
      <c r="TOB18" s="2" t="s">
        <v>65</v>
      </c>
      <c r="TOC18" t="s">
        <v>14</v>
      </c>
      <c r="TOD18" s="5">
        <v>43521</v>
      </c>
      <c r="TOE18" s="2" t="s">
        <v>68</v>
      </c>
      <c r="TOF18" s="7"/>
      <c r="TOG18"/>
      <c r="TOH18"/>
      <c r="TOI18" s="10">
        <v>-1.01</v>
      </c>
      <c r="TOJ18" s="2" t="s">
        <v>65</v>
      </c>
      <c r="TOK18" t="s">
        <v>14</v>
      </c>
      <c r="TOL18" s="5">
        <v>43521</v>
      </c>
      <c r="TOM18" s="2" t="s">
        <v>68</v>
      </c>
      <c r="TON18" s="7"/>
      <c r="TOO18"/>
      <c r="TOP18"/>
      <c r="TOQ18" s="10">
        <v>-1.01</v>
      </c>
      <c r="TOR18" s="2" t="s">
        <v>65</v>
      </c>
      <c r="TOS18" t="s">
        <v>14</v>
      </c>
      <c r="TOT18" s="5">
        <v>43521</v>
      </c>
      <c r="TOU18" s="2" t="s">
        <v>68</v>
      </c>
      <c r="TOV18" s="7"/>
      <c r="TOW18"/>
      <c r="TOX18"/>
      <c r="TOY18" s="10">
        <v>-1.01</v>
      </c>
      <c r="TOZ18" s="2" t="s">
        <v>65</v>
      </c>
      <c r="TPA18" t="s">
        <v>14</v>
      </c>
      <c r="TPB18" s="5">
        <v>43521</v>
      </c>
      <c r="TPC18" s="2" t="s">
        <v>68</v>
      </c>
      <c r="TPD18" s="7"/>
      <c r="TPE18"/>
      <c r="TPF18"/>
      <c r="TPG18" s="10">
        <v>-1.01</v>
      </c>
      <c r="TPH18" s="2" t="s">
        <v>65</v>
      </c>
      <c r="TPI18" t="s">
        <v>14</v>
      </c>
      <c r="TPJ18" s="5">
        <v>43521</v>
      </c>
      <c r="TPK18" s="2" t="s">
        <v>68</v>
      </c>
      <c r="TPL18" s="7"/>
      <c r="TPM18"/>
      <c r="TPN18"/>
      <c r="TPO18" s="10">
        <v>-1.01</v>
      </c>
      <c r="TPP18" s="2" t="s">
        <v>65</v>
      </c>
      <c r="TPQ18" t="s">
        <v>14</v>
      </c>
      <c r="TPR18" s="5">
        <v>43521</v>
      </c>
      <c r="TPS18" s="2" t="s">
        <v>68</v>
      </c>
      <c r="TPT18" s="7"/>
      <c r="TPU18"/>
      <c r="TPV18"/>
      <c r="TPW18" s="10">
        <v>-1.01</v>
      </c>
      <c r="TPX18" s="2" t="s">
        <v>65</v>
      </c>
      <c r="TPY18" t="s">
        <v>14</v>
      </c>
      <c r="TPZ18" s="5">
        <v>43521</v>
      </c>
      <c r="TQA18" s="2" t="s">
        <v>68</v>
      </c>
      <c r="TQB18" s="7"/>
      <c r="TQC18"/>
      <c r="TQD18"/>
      <c r="TQE18" s="10">
        <v>-1.01</v>
      </c>
      <c r="TQF18" s="2" t="s">
        <v>65</v>
      </c>
      <c r="TQG18" t="s">
        <v>14</v>
      </c>
      <c r="TQH18" s="5">
        <v>43521</v>
      </c>
      <c r="TQI18" s="2" t="s">
        <v>68</v>
      </c>
      <c r="TQJ18" s="7"/>
      <c r="TQK18"/>
      <c r="TQL18"/>
      <c r="TQM18" s="10">
        <v>-1.01</v>
      </c>
      <c r="TQN18" s="2" t="s">
        <v>65</v>
      </c>
      <c r="TQO18" t="s">
        <v>14</v>
      </c>
      <c r="TQP18" s="5">
        <v>43521</v>
      </c>
      <c r="TQQ18" s="2" t="s">
        <v>68</v>
      </c>
      <c r="TQR18" s="7"/>
      <c r="TQS18"/>
      <c r="TQT18"/>
      <c r="TQU18" s="10">
        <v>-1.01</v>
      </c>
      <c r="TQV18" s="2" t="s">
        <v>65</v>
      </c>
      <c r="TQW18" t="s">
        <v>14</v>
      </c>
      <c r="TQX18" s="5">
        <v>43521</v>
      </c>
      <c r="TQY18" s="2" t="s">
        <v>68</v>
      </c>
      <c r="TQZ18" s="7"/>
      <c r="TRA18"/>
      <c r="TRB18"/>
      <c r="TRC18" s="10">
        <v>-1.01</v>
      </c>
      <c r="TRD18" s="2" t="s">
        <v>65</v>
      </c>
      <c r="TRE18" t="s">
        <v>14</v>
      </c>
      <c r="TRF18" s="5">
        <v>43521</v>
      </c>
      <c r="TRG18" s="2" t="s">
        <v>68</v>
      </c>
      <c r="TRH18" s="7"/>
      <c r="TRI18"/>
      <c r="TRJ18"/>
      <c r="TRK18" s="10">
        <v>-1.01</v>
      </c>
      <c r="TRL18" s="2" t="s">
        <v>65</v>
      </c>
      <c r="TRM18" t="s">
        <v>14</v>
      </c>
      <c r="TRN18" s="5">
        <v>43521</v>
      </c>
      <c r="TRO18" s="2" t="s">
        <v>68</v>
      </c>
      <c r="TRP18" s="7"/>
      <c r="TRQ18"/>
      <c r="TRR18"/>
      <c r="TRS18" s="10">
        <v>-1.01</v>
      </c>
      <c r="TRT18" s="2" t="s">
        <v>65</v>
      </c>
      <c r="TRU18" t="s">
        <v>14</v>
      </c>
      <c r="TRV18" s="5">
        <v>43521</v>
      </c>
      <c r="TRW18" s="2" t="s">
        <v>68</v>
      </c>
      <c r="TRX18" s="7"/>
      <c r="TRY18"/>
      <c r="TRZ18"/>
      <c r="TSA18" s="10">
        <v>-1.01</v>
      </c>
      <c r="TSB18" s="2" t="s">
        <v>65</v>
      </c>
      <c r="TSC18" t="s">
        <v>14</v>
      </c>
      <c r="TSD18" s="5">
        <v>43521</v>
      </c>
      <c r="TSE18" s="2" t="s">
        <v>68</v>
      </c>
      <c r="TSF18" s="7"/>
      <c r="TSG18"/>
      <c r="TSH18"/>
      <c r="TSI18" s="10">
        <v>-1.01</v>
      </c>
      <c r="TSJ18" s="2" t="s">
        <v>65</v>
      </c>
      <c r="TSK18" t="s">
        <v>14</v>
      </c>
      <c r="TSL18" s="5">
        <v>43521</v>
      </c>
      <c r="TSM18" s="2" t="s">
        <v>68</v>
      </c>
      <c r="TSN18" s="7"/>
      <c r="TSO18"/>
      <c r="TSP18"/>
      <c r="TSQ18" s="10">
        <v>-1.01</v>
      </c>
      <c r="TSR18" s="2" t="s">
        <v>65</v>
      </c>
      <c r="TSS18" t="s">
        <v>14</v>
      </c>
      <c r="TST18" s="5">
        <v>43521</v>
      </c>
      <c r="TSU18" s="2" t="s">
        <v>68</v>
      </c>
      <c r="TSV18" s="7"/>
      <c r="TSW18"/>
      <c r="TSX18"/>
      <c r="TSY18" s="10">
        <v>-1.01</v>
      </c>
      <c r="TSZ18" s="2" t="s">
        <v>65</v>
      </c>
      <c r="TTA18" t="s">
        <v>14</v>
      </c>
      <c r="TTB18" s="5">
        <v>43521</v>
      </c>
      <c r="TTC18" s="2" t="s">
        <v>68</v>
      </c>
      <c r="TTD18" s="7"/>
      <c r="TTE18"/>
      <c r="TTF18"/>
      <c r="TTG18" s="10">
        <v>-1.01</v>
      </c>
      <c r="TTH18" s="2" t="s">
        <v>65</v>
      </c>
      <c r="TTI18" t="s">
        <v>14</v>
      </c>
      <c r="TTJ18" s="5">
        <v>43521</v>
      </c>
      <c r="TTK18" s="2" t="s">
        <v>68</v>
      </c>
      <c r="TTL18" s="7"/>
      <c r="TTM18"/>
      <c r="TTN18"/>
      <c r="TTO18" s="10">
        <v>-1.01</v>
      </c>
      <c r="TTP18" s="2" t="s">
        <v>65</v>
      </c>
      <c r="TTQ18" t="s">
        <v>14</v>
      </c>
      <c r="TTR18" s="5">
        <v>43521</v>
      </c>
      <c r="TTS18" s="2" t="s">
        <v>68</v>
      </c>
      <c r="TTT18" s="7"/>
      <c r="TTU18"/>
      <c r="TTV18"/>
      <c r="TTW18" s="10">
        <v>-1.01</v>
      </c>
      <c r="TTX18" s="2" t="s">
        <v>65</v>
      </c>
      <c r="TTY18" t="s">
        <v>14</v>
      </c>
      <c r="TTZ18" s="5">
        <v>43521</v>
      </c>
      <c r="TUA18" s="2" t="s">
        <v>68</v>
      </c>
      <c r="TUB18" s="7"/>
      <c r="TUC18"/>
      <c r="TUD18"/>
      <c r="TUE18" s="10">
        <v>-1.01</v>
      </c>
      <c r="TUF18" s="2" t="s">
        <v>65</v>
      </c>
      <c r="TUG18" t="s">
        <v>14</v>
      </c>
      <c r="TUH18" s="5">
        <v>43521</v>
      </c>
      <c r="TUI18" s="2" t="s">
        <v>68</v>
      </c>
      <c r="TUJ18" s="7"/>
      <c r="TUK18"/>
      <c r="TUL18"/>
      <c r="TUM18" s="10">
        <v>-1.01</v>
      </c>
      <c r="TUN18" s="2" t="s">
        <v>65</v>
      </c>
      <c r="TUO18" t="s">
        <v>14</v>
      </c>
      <c r="TUP18" s="5">
        <v>43521</v>
      </c>
      <c r="TUQ18" s="2" t="s">
        <v>68</v>
      </c>
      <c r="TUR18" s="7"/>
      <c r="TUS18"/>
      <c r="TUT18"/>
      <c r="TUU18" s="10">
        <v>-1.01</v>
      </c>
      <c r="TUV18" s="2" t="s">
        <v>65</v>
      </c>
      <c r="TUW18" t="s">
        <v>14</v>
      </c>
      <c r="TUX18" s="5">
        <v>43521</v>
      </c>
      <c r="TUY18" s="2" t="s">
        <v>68</v>
      </c>
      <c r="TUZ18" s="7"/>
      <c r="TVA18"/>
      <c r="TVB18"/>
      <c r="TVC18" s="10">
        <v>-1.01</v>
      </c>
      <c r="TVD18" s="2" t="s">
        <v>65</v>
      </c>
      <c r="TVE18" t="s">
        <v>14</v>
      </c>
      <c r="TVF18" s="5">
        <v>43521</v>
      </c>
      <c r="TVG18" s="2" t="s">
        <v>68</v>
      </c>
      <c r="TVH18" s="7"/>
      <c r="TVI18"/>
      <c r="TVJ18"/>
      <c r="TVK18" s="10">
        <v>-1.01</v>
      </c>
      <c r="TVL18" s="2" t="s">
        <v>65</v>
      </c>
      <c r="TVM18" t="s">
        <v>14</v>
      </c>
      <c r="TVN18" s="5">
        <v>43521</v>
      </c>
      <c r="TVO18" s="2" t="s">
        <v>68</v>
      </c>
      <c r="TVP18" s="7"/>
      <c r="TVQ18"/>
      <c r="TVR18"/>
      <c r="TVS18" s="10">
        <v>-1.01</v>
      </c>
      <c r="TVT18" s="2" t="s">
        <v>65</v>
      </c>
      <c r="TVU18" t="s">
        <v>14</v>
      </c>
      <c r="TVV18" s="5">
        <v>43521</v>
      </c>
      <c r="TVW18" s="2" t="s">
        <v>68</v>
      </c>
      <c r="TVX18" s="7"/>
      <c r="TVY18"/>
      <c r="TVZ18"/>
      <c r="TWA18" s="10">
        <v>-1.01</v>
      </c>
      <c r="TWB18" s="2" t="s">
        <v>65</v>
      </c>
      <c r="TWC18" t="s">
        <v>14</v>
      </c>
      <c r="TWD18" s="5">
        <v>43521</v>
      </c>
      <c r="TWE18" s="2" t="s">
        <v>68</v>
      </c>
      <c r="TWF18" s="7"/>
      <c r="TWG18"/>
      <c r="TWH18"/>
      <c r="TWI18" s="10">
        <v>-1.01</v>
      </c>
      <c r="TWJ18" s="2" t="s">
        <v>65</v>
      </c>
      <c r="TWK18" t="s">
        <v>14</v>
      </c>
      <c r="TWL18" s="5">
        <v>43521</v>
      </c>
      <c r="TWM18" s="2" t="s">
        <v>68</v>
      </c>
      <c r="TWN18" s="7"/>
      <c r="TWO18"/>
      <c r="TWP18"/>
      <c r="TWQ18" s="10">
        <v>-1.01</v>
      </c>
      <c r="TWR18" s="2" t="s">
        <v>65</v>
      </c>
      <c r="TWS18" t="s">
        <v>14</v>
      </c>
      <c r="TWT18" s="5">
        <v>43521</v>
      </c>
      <c r="TWU18" s="2" t="s">
        <v>68</v>
      </c>
      <c r="TWV18" s="7"/>
      <c r="TWW18"/>
      <c r="TWX18"/>
      <c r="TWY18" s="10">
        <v>-1.01</v>
      </c>
      <c r="TWZ18" s="2" t="s">
        <v>65</v>
      </c>
      <c r="TXA18" t="s">
        <v>14</v>
      </c>
      <c r="TXB18" s="5">
        <v>43521</v>
      </c>
      <c r="TXC18" s="2" t="s">
        <v>68</v>
      </c>
      <c r="TXD18" s="7"/>
      <c r="TXE18"/>
      <c r="TXF18"/>
      <c r="TXG18" s="10">
        <v>-1.01</v>
      </c>
      <c r="TXH18" s="2" t="s">
        <v>65</v>
      </c>
      <c r="TXI18" t="s">
        <v>14</v>
      </c>
      <c r="TXJ18" s="5">
        <v>43521</v>
      </c>
      <c r="TXK18" s="2" t="s">
        <v>68</v>
      </c>
      <c r="TXL18" s="7"/>
      <c r="TXM18"/>
      <c r="TXN18"/>
      <c r="TXO18" s="10">
        <v>-1.01</v>
      </c>
      <c r="TXP18" s="2" t="s">
        <v>65</v>
      </c>
      <c r="TXQ18" t="s">
        <v>14</v>
      </c>
      <c r="TXR18" s="5">
        <v>43521</v>
      </c>
      <c r="TXS18" s="2" t="s">
        <v>68</v>
      </c>
      <c r="TXT18" s="7"/>
      <c r="TXU18"/>
      <c r="TXV18"/>
      <c r="TXW18" s="10">
        <v>-1.01</v>
      </c>
      <c r="TXX18" s="2" t="s">
        <v>65</v>
      </c>
      <c r="TXY18" t="s">
        <v>14</v>
      </c>
      <c r="TXZ18" s="5">
        <v>43521</v>
      </c>
      <c r="TYA18" s="2" t="s">
        <v>68</v>
      </c>
      <c r="TYB18" s="7"/>
      <c r="TYC18"/>
      <c r="TYD18"/>
      <c r="TYE18" s="10">
        <v>-1.01</v>
      </c>
      <c r="TYF18" s="2" t="s">
        <v>65</v>
      </c>
      <c r="TYG18" t="s">
        <v>14</v>
      </c>
      <c r="TYH18" s="5">
        <v>43521</v>
      </c>
      <c r="TYI18" s="2" t="s">
        <v>68</v>
      </c>
      <c r="TYJ18" s="7"/>
      <c r="TYK18"/>
      <c r="TYL18"/>
      <c r="TYM18" s="10">
        <v>-1.01</v>
      </c>
      <c r="TYN18" s="2" t="s">
        <v>65</v>
      </c>
      <c r="TYO18" t="s">
        <v>14</v>
      </c>
      <c r="TYP18" s="5">
        <v>43521</v>
      </c>
      <c r="TYQ18" s="2" t="s">
        <v>68</v>
      </c>
      <c r="TYR18" s="7"/>
      <c r="TYS18"/>
      <c r="TYT18"/>
      <c r="TYU18" s="10">
        <v>-1.01</v>
      </c>
      <c r="TYV18" s="2" t="s">
        <v>65</v>
      </c>
      <c r="TYW18" t="s">
        <v>14</v>
      </c>
      <c r="TYX18" s="5">
        <v>43521</v>
      </c>
      <c r="TYY18" s="2" t="s">
        <v>68</v>
      </c>
      <c r="TYZ18" s="7"/>
      <c r="TZA18"/>
      <c r="TZB18"/>
      <c r="TZC18" s="10">
        <v>-1.01</v>
      </c>
      <c r="TZD18" s="2" t="s">
        <v>65</v>
      </c>
      <c r="TZE18" t="s">
        <v>14</v>
      </c>
      <c r="TZF18" s="5">
        <v>43521</v>
      </c>
      <c r="TZG18" s="2" t="s">
        <v>68</v>
      </c>
      <c r="TZH18" s="7"/>
      <c r="TZI18"/>
      <c r="TZJ18"/>
      <c r="TZK18" s="10">
        <v>-1.01</v>
      </c>
      <c r="TZL18" s="2" t="s">
        <v>65</v>
      </c>
      <c r="TZM18" t="s">
        <v>14</v>
      </c>
      <c r="TZN18" s="5">
        <v>43521</v>
      </c>
      <c r="TZO18" s="2" t="s">
        <v>68</v>
      </c>
      <c r="TZP18" s="7"/>
      <c r="TZQ18"/>
      <c r="TZR18"/>
      <c r="TZS18" s="10">
        <v>-1.01</v>
      </c>
      <c r="TZT18" s="2" t="s">
        <v>65</v>
      </c>
      <c r="TZU18" t="s">
        <v>14</v>
      </c>
      <c r="TZV18" s="5">
        <v>43521</v>
      </c>
      <c r="TZW18" s="2" t="s">
        <v>68</v>
      </c>
      <c r="TZX18" s="7"/>
      <c r="TZY18"/>
      <c r="TZZ18"/>
      <c r="UAA18" s="10">
        <v>-1.01</v>
      </c>
      <c r="UAB18" s="2" t="s">
        <v>65</v>
      </c>
      <c r="UAC18" t="s">
        <v>14</v>
      </c>
      <c r="UAD18" s="5">
        <v>43521</v>
      </c>
      <c r="UAE18" s="2" t="s">
        <v>68</v>
      </c>
      <c r="UAF18" s="7"/>
      <c r="UAG18"/>
      <c r="UAH18"/>
      <c r="UAI18" s="10">
        <v>-1.01</v>
      </c>
      <c r="UAJ18" s="2" t="s">
        <v>65</v>
      </c>
      <c r="UAK18" t="s">
        <v>14</v>
      </c>
      <c r="UAL18" s="5">
        <v>43521</v>
      </c>
      <c r="UAM18" s="2" t="s">
        <v>68</v>
      </c>
      <c r="UAN18" s="7"/>
      <c r="UAO18"/>
      <c r="UAP18"/>
      <c r="UAQ18" s="10">
        <v>-1.01</v>
      </c>
      <c r="UAR18" s="2" t="s">
        <v>65</v>
      </c>
      <c r="UAS18" t="s">
        <v>14</v>
      </c>
      <c r="UAT18" s="5">
        <v>43521</v>
      </c>
      <c r="UAU18" s="2" t="s">
        <v>68</v>
      </c>
      <c r="UAV18" s="7"/>
      <c r="UAW18"/>
      <c r="UAX18"/>
      <c r="UAY18" s="10">
        <v>-1.01</v>
      </c>
      <c r="UAZ18" s="2" t="s">
        <v>65</v>
      </c>
      <c r="UBA18" t="s">
        <v>14</v>
      </c>
      <c r="UBB18" s="5">
        <v>43521</v>
      </c>
      <c r="UBC18" s="2" t="s">
        <v>68</v>
      </c>
      <c r="UBD18" s="7"/>
      <c r="UBE18"/>
      <c r="UBF18"/>
      <c r="UBG18" s="10">
        <v>-1.01</v>
      </c>
      <c r="UBH18" s="2" t="s">
        <v>65</v>
      </c>
      <c r="UBI18" t="s">
        <v>14</v>
      </c>
      <c r="UBJ18" s="5">
        <v>43521</v>
      </c>
      <c r="UBK18" s="2" t="s">
        <v>68</v>
      </c>
      <c r="UBL18" s="7"/>
      <c r="UBM18"/>
      <c r="UBN18"/>
      <c r="UBO18" s="10">
        <v>-1.01</v>
      </c>
      <c r="UBP18" s="2" t="s">
        <v>65</v>
      </c>
      <c r="UBQ18" t="s">
        <v>14</v>
      </c>
      <c r="UBR18" s="5">
        <v>43521</v>
      </c>
      <c r="UBS18" s="2" t="s">
        <v>68</v>
      </c>
      <c r="UBT18" s="7"/>
      <c r="UBU18"/>
      <c r="UBV18"/>
      <c r="UBW18" s="10">
        <v>-1.01</v>
      </c>
      <c r="UBX18" s="2" t="s">
        <v>65</v>
      </c>
      <c r="UBY18" t="s">
        <v>14</v>
      </c>
      <c r="UBZ18" s="5">
        <v>43521</v>
      </c>
      <c r="UCA18" s="2" t="s">
        <v>68</v>
      </c>
      <c r="UCB18" s="7"/>
      <c r="UCC18"/>
      <c r="UCD18"/>
      <c r="UCE18" s="10">
        <v>-1.01</v>
      </c>
      <c r="UCF18" s="2" t="s">
        <v>65</v>
      </c>
      <c r="UCG18" t="s">
        <v>14</v>
      </c>
      <c r="UCH18" s="5">
        <v>43521</v>
      </c>
      <c r="UCI18" s="2" t="s">
        <v>68</v>
      </c>
      <c r="UCJ18" s="7"/>
      <c r="UCK18"/>
      <c r="UCL18"/>
      <c r="UCM18" s="10">
        <v>-1.01</v>
      </c>
      <c r="UCN18" s="2" t="s">
        <v>65</v>
      </c>
      <c r="UCO18" t="s">
        <v>14</v>
      </c>
      <c r="UCP18" s="5">
        <v>43521</v>
      </c>
      <c r="UCQ18" s="2" t="s">
        <v>68</v>
      </c>
      <c r="UCR18" s="7"/>
      <c r="UCS18"/>
      <c r="UCT18"/>
      <c r="UCU18" s="10">
        <v>-1.01</v>
      </c>
      <c r="UCV18" s="2" t="s">
        <v>65</v>
      </c>
      <c r="UCW18" t="s">
        <v>14</v>
      </c>
      <c r="UCX18" s="5">
        <v>43521</v>
      </c>
      <c r="UCY18" s="2" t="s">
        <v>68</v>
      </c>
      <c r="UCZ18" s="7"/>
      <c r="UDA18"/>
      <c r="UDB18"/>
      <c r="UDC18" s="10">
        <v>-1.01</v>
      </c>
      <c r="UDD18" s="2" t="s">
        <v>65</v>
      </c>
      <c r="UDE18" t="s">
        <v>14</v>
      </c>
      <c r="UDF18" s="5">
        <v>43521</v>
      </c>
      <c r="UDG18" s="2" t="s">
        <v>68</v>
      </c>
      <c r="UDH18" s="7"/>
      <c r="UDI18"/>
      <c r="UDJ18"/>
      <c r="UDK18" s="10">
        <v>-1.01</v>
      </c>
      <c r="UDL18" s="2" t="s">
        <v>65</v>
      </c>
      <c r="UDM18" t="s">
        <v>14</v>
      </c>
      <c r="UDN18" s="5">
        <v>43521</v>
      </c>
      <c r="UDO18" s="2" t="s">
        <v>68</v>
      </c>
      <c r="UDP18" s="7"/>
      <c r="UDQ18"/>
      <c r="UDR18"/>
      <c r="UDS18" s="10">
        <v>-1.01</v>
      </c>
      <c r="UDT18" s="2" t="s">
        <v>65</v>
      </c>
      <c r="UDU18" t="s">
        <v>14</v>
      </c>
      <c r="UDV18" s="5">
        <v>43521</v>
      </c>
      <c r="UDW18" s="2" t="s">
        <v>68</v>
      </c>
      <c r="UDX18" s="7"/>
      <c r="UDY18"/>
      <c r="UDZ18"/>
      <c r="UEA18" s="10">
        <v>-1.01</v>
      </c>
      <c r="UEB18" s="2" t="s">
        <v>65</v>
      </c>
      <c r="UEC18" t="s">
        <v>14</v>
      </c>
      <c r="UED18" s="5">
        <v>43521</v>
      </c>
      <c r="UEE18" s="2" t="s">
        <v>68</v>
      </c>
      <c r="UEF18" s="7"/>
      <c r="UEG18"/>
      <c r="UEH18"/>
      <c r="UEI18" s="10">
        <v>-1.01</v>
      </c>
      <c r="UEJ18" s="2" t="s">
        <v>65</v>
      </c>
      <c r="UEK18" t="s">
        <v>14</v>
      </c>
      <c r="UEL18" s="5">
        <v>43521</v>
      </c>
      <c r="UEM18" s="2" t="s">
        <v>68</v>
      </c>
      <c r="UEN18" s="7"/>
      <c r="UEO18"/>
      <c r="UEP18"/>
      <c r="UEQ18" s="10">
        <v>-1.01</v>
      </c>
      <c r="UER18" s="2" t="s">
        <v>65</v>
      </c>
      <c r="UES18" t="s">
        <v>14</v>
      </c>
      <c r="UET18" s="5">
        <v>43521</v>
      </c>
      <c r="UEU18" s="2" t="s">
        <v>68</v>
      </c>
      <c r="UEV18" s="7"/>
      <c r="UEW18"/>
      <c r="UEX18"/>
      <c r="UEY18" s="10">
        <v>-1.01</v>
      </c>
      <c r="UEZ18" s="2" t="s">
        <v>65</v>
      </c>
      <c r="UFA18" t="s">
        <v>14</v>
      </c>
      <c r="UFB18" s="5">
        <v>43521</v>
      </c>
      <c r="UFC18" s="2" t="s">
        <v>68</v>
      </c>
      <c r="UFD18" s="7"/>
      <c r="UFE18"/>
      <c r="UFF18"/>
      <c r="UFG18" s="10">
        <v>-1.01</v>
      </c>
      <c r="UFH18" s="2" t="s">
        <v>65</v>
      </c>
      <c r="UFI18" t="s">
        <v>14</v>
      </c>
      <c r="UFJ18" s="5">
        <v>43521</v>
      </c>
      <c r="UFK18" s="2" t="s">
        <v>68</v>
      </c>
      <c r="UFL18" s="7"/>
      <c r="UFM18"/>
      <c r="UFN18"/>
      <c r="UFO18" s="10">
        <v>-1.01</v>
      </c>
      <c r="UFP18" s="2" t="s">
        <v>65</v>
      </c>
      <c r="UFQ18" t="s">
        <v>14</v>
      </c>
      <c r="UFR18" s="5">
        <v>43521</v>
      </c>
      <c r="UFS18" s="2" t="s">
        <v>68</v>
      </c>
      <c r="UFT18" s="7"/>
      <c r="UFU18"/>
      <c r="UFV18"/>
      <c r="UFW18" s="10">
        <v>-1.01</v>
      </c>
      <c r="UFX18" s="2" t="s">
        <v>65</v>
      </c>
      <c r="UFY18" t="s">
        <v>14</v>
      </c>
      <c r="UFZ18" s="5">
        <v>43521</v>
      </c>
      <c r="UGA18" s="2" t="s">
        <v>68</v>
      </c>
      <c r="UGB18" s="7"/>
      <c r="UGC18"/>
      <c r="UGD18"/>
      <c r="UGE18" s="10">
        <v>-1.01</v>
      </c>
      <c r="UGF18" s="2" t="s">
        <v>65</v>
      </c>
      <c r="UGG18" t="s">
        <v>14</v>
      </c>
      <c r="UGH18" s="5">
        <v>43521</v>
      </c>
      <c r="UGI18" s="2" t="s">
        <v>68</v>
      </c>
      <c r="UGJ18" s="7"/>
      <c r="UGK18"/>
      <c r="UGL18"/>
      <c r="UGM18" s="10">
        <v>-1.01</v>
      </c>
      <c r="UGN18" s="2" t="s">
        <v>65</v>
      </c>
      <c r="UGO18" t="s">
        <v>14</v>
      </c>
      <c r="UGP18" s="5">
        <v>43521</v>
      </c>
      <c r="UGQ18" s="2" t="s">
        <v>68</v>
      </c>
      <c r="UGR18" s="7"/>
      <c r="UGS18"/>
      <c r="UGT18"/>
      <c r="UGU18" s="10">
        <v>-1.01</v>
      </c>
      <c r="UGV18" s="2" t="s">
        <v>65</v>
      </c>
      <c r="UGW18" t="s">
        <v>14</v>
      </c>
      <c r="UGX18" s="5">
        <v>43521</v>
      </c>
      <c r="UGY18" s="2" t="s">
        <v>68</v>
      </c>
      <c r="UGZ18" s="7"/>
      <c r="UHA18"/>
      <c r="UHB18"/>
      <c r="UHC18" s="10">
        <v>-1.01</v>
      </c>
      <c r="UHD18" s="2" t="s">
        <v>65</v>
      </c>
      <c r="UHE18" t="s">
        <v>14</v>
      </c>
      <c r="UHF18" s="5">
        <v>43521</v>
      </c>
      <c r="UHG18" s="2" t="s">
        <v>68</v>
      </c>
      <c r="UHH18" s="7"/>
      <c r="UHI18"/>
      <c r="UHJ18"/>
      <c r="UHK18" s="10">
        <v>-1.01</v>
      </c>
      <c r="UHL18" s="2" t="s">
        <v>65</v>
      </c>
      <c r="UHM18" t="s">
        <v>14</v>
      </c>
      <c r="UHN18" s="5">
        <v>43521</v>
      </c>
      <c r="UHO18" s="2" t="s">
        <v>68</v>
      </c>
      <c r="UHP18" s="7"/>
      <c r="UHQ18"/>
      <c r="UHR18"/>
      <c r="UHS18" s="10">
        <v>-1.01</v>
      </c>
      <c r="UHT18" s="2" t="s">
        <v>65</v>
      </c>
      <c r="UHU18" t="s">
        <v>14</v>
      </c>
      <c r="UHV18" s="5">
        <v>43521</v>
      </c>
      <c r="UHW18" s="2" t="s">
        <v>68</v>
      </c>
      <c r="UHX18" s="7"/>
      <c r="UHY18"/>
      <c r="UHZ18"/>
      <c r="UIA18" s="10">
        <v>-1.01</v>
      </c>
      <c r="UIB18" s="2" t="s">
        <v>65</v>
      </c>
      <c r="UIC18" t="s">
        <v>14</v>
      </c>
      <c r="UID18" s="5">
        <v>43521</v>
      </c>
      <c r="UIE18" s="2" t="s">
        <v>68</v>
      </c>
      <c r="UIF18" s="7"/>
      <c r="UIG18"/>
      <c r="UIH18"/>
      <c r="UII18" s="10">
        <v>-1.01</v>
      </c>
      <c r="UIJ18" s="2" t="s">
        <v>65</v>
      </c>
      <c r="UIK18" t="s">
        <v>14</v>
      </c>
      <c r="UIL18" s="5">
        <v>43521</v>
      </c>
      <c r="UIM18" s="2" t="s">
        <v>68</v>
      </c>
      <c r="UIN18" s="7"/>
      <c r="UIO18"/>
      <c r="UIP18"/>
      <c r="UIQ18" s="10">
        <v>-1.01</v>
      </c>
      <c r="UIR18" s="2" t="s">
        <v>65</v>
      </c>
      <c r="UIS18" t="s">
        <v>14</v>
      </c>
      <c r="UIT18" s="5">
        <v>43521</v>
      </c>
      <c r="UIU18" s="2" t="s">
        <v>68</v>
      </c>
      <c r="UIV18" s="7"/>
      <c r="UIW18"/>
      <c r="UIX18"/>
      <c r="UIY18" s="10">
        <v>-1.01</v>
      </c>
      <c r="UIZ18" s="2" t="s">
        <v>65</v>
      </c>
      <c r="UJA18" t="s">
        <v>14</v>
      </c>
      <c r="UJB18" s="5">
        <v>43521</v>
      </c>
      <c r="UJC18" s="2" t="s">
        <v>68</v>
      </c>
      <c r="UJD18" s="7"/>
      <c r="UJE18"/>
      <c r="UJF18"/>
      <c r="UJG18" s="10">
        <v>-1.01</v>
      </c>
      <c r="UJH18" s="2" t="s">
        <v>65</v>
      </c>
      <c r="UJI18" t="s">
        <v>14</v>
      </c>
      <c r="UJJ18" s="5">
        <v>43521</v>
      </c>
      <c r="UJK18" s="2" t="s">
        <v>68</v>
      </c>
      <c r="UJL18" s="7"/>
      <c r="UJM18"/>
      <c r="UJN18"/>
      <c r="UJO18" s="10">
        <v>-1.01</v>
      </c>
      <c r="UJP18" s="2" t="s">
        <v>65</v>
      </c>
      <c r="UJQ18" t="s">
        <v>14</v>
      </c>
      <c r="UJR18" s="5">
        <v>43521</v>
      </c>
      <c r="UJS18" s="2" t="s">
        <v>68</v>
      </c>
      <c r="UJT18" s="7"/>
      <c r="UJU18"/>
      <c r="UJV18"/>
      <c r="UJW18" s="10">
        <v>-1.01</v>
      </c>
      <c r="UJX18" s="2" t="s">
        <v>65</v>
      </c>
      <c r="UJY18" t="s">
        <v>14</v>
      </c>
      <c r="UJZ18" s="5">
        <v>43521</v>
      </c>
      <c r="UKA18" s="2" t="s">
        <v>68</v>
      </c>
      <c r="UKB18" s="7"/>
      <c r="UKC18"/>
      <c r="UKD18"/>
      <c r="UKE18" s="10">
        <v>-1.01</v>
      </c>
      <c r="UKF18" s="2" t="s">
        <v>65</v>
      </c>
      <c r="UKG18" t="s">
        <v>14</v>
      </c>
      <c r="UKH18" s="5">
        <v>43521</v>
      </c>
      <c r="UKI18" s="2" t="s">
        <v>68</v>
      </c>
      <c r="UKJ18" s="7"/>
      <c r="UKK18"/>
      <c r="UKL18"/>
      <c r="UKM18" s="10">
        <v>-1.01</v>
      </c>
      <c r="UKN18" s="2" t="s">
        <v>65</v>
      </c>
      <c r="UKO18" t="s">
        <v>14</v>
      </c>
      <c r="UKP18" s="5">
        <v>43521</v>
      </c>
      <c r="UKQ18" s="2" t="s">
        <v>68</v>
      </c>
      <c r="UKR18" s="7"/>
      <c r="UKS18"/>
      <c r="UKT18"/>
      <c r="UKU18" s="10">
        <v>-1.01</v>
      </c>
      <c r="UKV18" s="2" t="s">
        <v>65</v>
      </c>
      <c r="UKW18" t="s">
        <v>14</v>
      </c>
      <c r="UKX18" s="5">
        <v>43521</v>
      </c>
      <c r="UKY18" s="2" t="s">
        <v>68</v>
      </c>
      <c r="UKZ18" s="7"/>
      <c r="ULA18"/>
      <c r="ULB18"/>
      <c r="ULC18" s="10">
        <v>-1.01</v>
      </c>
      <c r="ULD18" s="2" t="s">
        <v>65</v>
      </c>
      <c r="ULE18" t="s">
        <v>14</v>
      </c>
      <c r="ULF18" s="5">
        <v>43521</v>
      </c>
      <c r="ULG18" s="2" t="s">
        <v>68</v>
      </c>
      <c r="ULH18" s="7"/>
      <c r="ULI18"/>
      <c r="ULJ18"/>
      <c r="ULK18" s="10">
        <v>-1.01</v>
      </c>
      <c r="ULL18" s="2" t="s">
        <v>65</v>
      </c>
      <c r="ULM18" t="s">
        <v>14</v>
      </c>
      <c r="ULN18" s="5">
        <v>43521</v>
      </c>
      <c r="ULO18" s="2" t="s">
        <v>68</v>
      </c>
      <c r="ULP18" s="7"/>
      <c r="ULQ18"/>
      <c r="ULR18"/>
      <c r="ULS18" s="10">
        <v>-1.01</v>
      </c>
      <c r="ULT18" s="2" t="s">
        <v>65</v>
      </c>
      <c r="ULU18" t="s">
        <v>14</v>
      </c>
      <c r="ULV18" s="5">
        <v>43521</v>
      </c>
      <c r="ULW18" s="2" t="s">
        <v>68</v>
      </c>
      <c r="ULX18" s="7"/>
      <c r="ULY18"/>
      <c r="ULZ18"/>
      <c r="UMA18" s="10">
        <v>-1.01</v>
      </c>
      <c r="UMB18" s="2" t="s">
        <v>65</v>
      </c>
      <c r="UMC18" t="s">
        <v>14</v>
      </c>
      <c r="UMD18" s="5">
        <v>43521</v>
      </c>
      <c r="UME18" s="2" t="s">
        <v>68</v>
      </c>
      <c r="UMF18" s="7"/>
      <c r="UMG18"/>
      <c r="UMH18"/>
      <c r="UMI18" s="10">
        <v>-1.01</v>
      </c>
      <c r="UMJ18" s="2" t="s">
        <v>65</v>
      </c>
      <c r="UMK18" t="s">
        <v>14</v>
      </c>
      <c r="UML18" s="5">
        <v>43521</v>
      </c>
      <c r="UMM18" s="2" t="s">
        <v>68</v>
      </c>
      <c r="UMN18" s="7"/>
      <c r="UMO18"/>
      <c r="UMP18"/>
      <c r="UMQ18" s="10">
        <v>-1.01</v>
      </c>
      <c r="UMR18" s="2" t="s">
        <v>65</v>
      </c>
      <c r="UMS18" t="s">
        <v>14</v>
      </c>
      <c r="UMT18" s="5">
        <v>43521</v>
      </c>
      <c r="UMU18" s="2" t="s">
        <v>68</v>
      </c>
      <c r="UMV18" s="7"/>
      <c r="UMW18"/>
      <c r="UMX18"/>
      <c r="UMY18" s="10">
        <v>-1.01</v>
      </c>
      <c r="UMZ18" s="2" t="s">
        <v>65</v>
      </c>
      <c r="UNA18" t="s">
        <v>14</v>
      </c>
      <c r="UNB18" s="5">
        <v>43521</v>
      </c>
      <c r="UNC18" s="2" t="s">
        <v>68</v>
      </c>
      <c r="UND18" s="7"/>
      <c r="UNE18"/>
      <c r="UNF18"/>
      <c r="UNG18" s="10">
        <v>-1.01</v>
      </c>
      <c r="UNH18" s="2" t="s">
        <v>65</v>
      </c>
      <c r="UNI18" t="s">
        <v>14</v>
      </c>
      <c r="UNJ18" s="5">
        <v>43521</v>
      </c>
      <c r="UNK18" s="2" t="s">
        <v>68</v>
      </c>
      <c r="UNL18" s="7"/>
      <c r="UNM18"/>
      <c r="UNN18"/>
      <c r="UNO18" s="10">
        <v>-1.01</v>
      </c>
      <c r="UNP18" s="2" t="s">
        <v>65</v>
      </c>
      <c r="UNQ18" t="s">
        <v>14</v>
      </c>
      <c r="UNR18" s="5">
        <v>43521</v>
      </c>
      <c r="UNS18" s="2" t="s">
        <v>68</v>
      </c>
      <c r="UNT18" s="7"/>
      <c r="UNU18"/>
      <c r="UNV18"/>
      <c r="UNW18" s="10">
        <v>-1.01</v>
      </c>
      <c r="UNX18" s="2" t="s">
        <v>65</v>
      </c>
      <c r="UNY18" t="s">
        <v>14</v>
      </c>
      <c r="UNZ18" s="5">
        <v>43521</v>
      </c>
      <c r="UOA18" s="2" t="s">
        <v>68</v>
      </c>
      <c r="UOB18" s="7"/>
      <c r="UOC18"/>
      <c r="UOD18"/>
      <c r="UOE18" s="10">
        <v>-1.01</v>
      </c>
      <c r="UOF18" s="2" t="s">
        <v>65</v>
      </c>
      <c r="UOG18" t="s">
        <v>14</v>
      </c>
      <c r="UOH18" s="5">
        <v>43521</v>
      </c>
      <c r="UOI18" s="2" t="s">
        <v>68</v>
      </c>
      <c r="UOJ18" s="7"/>
      <c r="UOK18"/>
      <c r="UOL18"/>
      <c r="UOM18" s="10">
        <v>-1.01</v>
      </c>
      <c r="UON18" s="2" t="s">
        <v>65</v>
      </c>
      <c r="UOO18" t="s">
        <v>14</v>
      </c>
      <c r="UOP18" s="5">
        <v>43521</v>
      </c>
      <c r="UOQ18" s="2" t="s">
        <v>68</v>
      </c>
      <c r="UOR18" s="7"/>
      <c r="UOS18"/>
      <c r="UOT18"/>
      <c r="UOU18" s="10">
        <v>-1.01</v>
      </c>
      <c r="UOV18" s="2" t="s">
        <v>65</v>
      </c>
      <c r="UOW18" t="s">
        <v>14</v>
      </c>
      <c r="UOX18" s="5">
        <v>43521</v>
      </c>
      <c r="UOY18" s="2" t="s">
        <v>68</v>
      </c>
      <c r="UOZ18" s="7"/>
      <c r="UPA18"/>
      <c r="UPB18"/>
      <c r="UPC18" s="10">
        <v>-1.01</v>
      </c>
      <c r="UPD18" s="2" t="s">
        <v>65</v>
      </c>
      <c r="UPE18" t="s">
        <v>14</v>
      </c>
      <c r="UPF18" s="5">
        <v>43521</v>
      </c>
      <c r="UPG18" s="2" t="s">
        <v>68</v>
      </c>
      <c r="UPH18" s="7"/>
      <c r="UPI18"/>
      <c r="UPJ18"/>
      <c r="UPK18" s="10">
        <v>-1.01</v>
      </c>
      <c r="UPL18" s="2" t="s">
        <v>65</v>
      </c>
      <c r="UPM18" t="s">
        <v>14</v>
      </c>
      <c r="UPN18" s="5">
        <v>43521</v>
      </c>
      <c r="UPO18" s="2" t="s">
        <v>68</v>
      </c>
      <c r="UPP18" s="7"/>
      <c r="UPQ18"/>
      <c r="UPR18"/>
      <c r="UPS18" s="10">
        <v>-1.01</v>
      </c>
      <c r="UPT18" s="2" t="s">
        <v>65</v>
      </c>
      <c r="UPU18" t="s">
        <v>14</v>
      </c>
      <c r="UPV18" s="5">
        <v>43521</v>
      </c>
      <c r="UPW18" s="2" t="s">
        <v>68</v>
      </c>
      <c r="UPX18" s="7"/>
      <c r="UPY18"/>
      <c r="UPZ18"/>
      <c r="UQA18" s="10">
        <v>-1.01</v>
      </c>
      <c r="UQB18" s="2" t="s">
        <v>65</v>
      </c>
      <c r="UQC18" t="s">
        <v>14</v>
      </c>
      <c r="UQD18" s="5">
        <v>43521</v>
      </c>
      <c r="UQE18" s="2" t="s">
        <v>68</v>
      </c>
      <c r="UQF18" s="7"/>
      <c r="UQG18"/>
      <c r="UQH18"/>
      <c r="UQI18" s="10">
        <v>-1.01</v>
      </c>
      <c r="UQJ18" s="2" t="s">
        <v>65</v>
      </c>
      <c r="UQK18" t="s">
        <v>14</v>
      </c>
      <c r="UQL18" s="5">
        <v>43521</v>
      </c>
      <c r="UQM18" s="2" t="s">
        <v>68</v>
      </c>
      <c r="UQN18" s="7"/>
      <c r="UQO18"/>
      <c r="UQP18"/>
      <c r="UQQ18" s="10">
        <v>-1.01</v>
      </c>
      <c r="UQR18" s="2" t="s">
        <v>65</v>
      </c>
      <c r="UQS18" t="s">
        <v>14</v>
      </c>
      <c r="UQT18" s="5">
        <v>43521</v>
      </c>
      <c r="UQU18" s="2" t="s">
        <v>68</v>
      </c>
      <c r="UQV18" s="7"/>
      <c r="UQW18"/>
      <c r="UQX18"/>
      <c r="UQY18" s="10">
        <v>-1.01</v>
      </c>
      <c r="UQZ18" s="2" t="s">
        <v>65</v>
      </c>
      <c r="URA18" t="s">
        <v>14</v>
      </c>
      <c r="URB18" s="5">
        <v>43521</v>
      </c>
      <c r="URC18" s="2" t="s">
        <v>68</v>
      </c>
      <c r="URD18" s="7"/>
      <c r="URE18"/>
      <c r="URF18"/>
      <c r="URG18" s="10">
        <v>-1.01</v>
      </c>
      <c r="URH18" s="2" t="s">
        <v>65</v>
      </c>
      <c r="URI18" t="s">
        <v>14</v>
      </c>
      <c r="URJ18" s="5">
        <v>43521</v>
      </c>
      <c r="URK18" s="2" t="s">
        <v>68</v>
      </c>
      <c r="URL18" s="7"/>
      <c r="URM18"/>
      <c r="URN18"/>
      <c r="URO18" s="10">
        <v>-1.01</v>
      </c>
      <c r="URP18" s="2" t="s">
        <v>65</v>
      </c>
      <c r="URQ18" t="s">
        <v>14</v>
      </c>
      <c r="URR18" s="5">
        <v>43521</v>
      </c>
      <c r="URS18" s="2" t="s">
        <v>68</v>
      </c>
      <c r="URT18" s="7"/>
      <c r="URU18"/>
      <c r="URV18"/>
      <c r="URW18" s="10">
        <v>-1.01</v>
      </c>
      <c r="URX18" s="2" t="s">
        <v>65</v>
      </c>
      <c r="URY18" t="s">
        <v>14</v>
      </c>
      <c r="URZ18" s="5">
        <v>43521</v>
      </c>
      <c r="USA18" s="2" t="s">
        <v>68</v>
      </c>
      <c r="USB18" s="7"/>
      <c r="USC18"/>
      <c r="USD18"/>
      <c r="USE18" s="10">
        <v>-1.01</v>
      </c>
      <c r="USF18" s="2" t="s">
        <v>65</v>
      </c>
      <c r="USG18" t="s">
        <v>14</v>
      </c>
      <c r="USH18" s="5">
        <v>43521</v>
      </c>
      <c r="USI18" s="2" t="s">
        <v>68</v>
      </c>
      <c r="USJ18" s="7"/>
      <c r="USK18"/>
      <c r="USL18"/>
      <c r="USM18" s="10">
        <v>-1.01</v>
      </c>
      <c r="USN18" s="2" t="s">
        <v>65</v>
      </c>
      <c r="USO18" t="s">
        <v>14</v>
      </c>
      <c r="USP18" s="5">
        <v>43521</v>
      </c>
      <c r="USQ18" s="2" t="s">
        <v>68</v>
      </c>
      <c r="USR18" s="7"/>
      <c r="USS18"/>
      <c r="UST18"/>
      <c r="USU18" s="10">
        <v>-1.01</v>
      </c>
      <c r="USV18" s="2" t="s">
        <v>65</v>
      </c>
      <c r="USW18" t="s">
        <v>14</v>
      </c>
      <c r="USX18" s="5">
        <v>43521</v>
      </c>
      <c r="USY18" s="2" t="s">
        <v>68</v>
      </c>
      <c r="USZ18" s="7"/>
      <c r="UTA18"/>
      <c r="UTB18"/>
      <c r="UTC18" s="10">
        <v>-1.01</v>
      </c>
      <c r="UTD18" s="2" t="s">
        <v>65</v>
      </c>
      <c r="UTE18" t="s">
        <v>14</v>
      </c>
      <c r="UTF18" s="5">
        <v>43521</v>
      </c>
      <c r="UTG18" s="2" t="s">
        <v>68</v>
      </c>
      <c r="UTH18" s="7"/>
      <c r="UTI18"/>
      <c r="UTJ18"/>
      <c r="UTK18" s="10">
        <v>-1.01</v>
      </c>
      <c r="UTL18" s="2" t="s">
        <v>65</v>
      </c>
      <c r="UTM18" t="s">
        <v>14</v>
      </c>
      <c r="UTN18" s="5">
        <v>43521</v>
      </c>
      <c r="UTO18" s="2" t="s">
        <v>68</v>
      </c>
      <c r="UTP18" s="7"/>
      <c r="UTQ18"/>
      <c r="UTR18"/>
      <c r="UTS18" s="10">
        <v>-1.01</v>
      </c>
      <c r="UTT18" s="2" t="s">
        <v>65</v>
      </c>
      <c r="UTU18" t="s">
        <v>14</v>
      </c>
      <c r="UTV18" s="5">
        <v>43521</v>
      </c>
      <c r="UTW18" s="2" t="s">
        <v>68</v>
      </c>
      <c r="UTX18" s="7"/>
      <c r="UTY18"/>
      <c r="UTZ18"/>
      <c r="UUA18" s="10">
        <v>-1.01</v>
      </c>
      <c r="UUB18" s="2" t="s">
        <v>65</v>
      </c>
      <c r="UUC18" t="s">
        <v>14</v>
      </c>
      <c r="UUD18" s="5">
        <v>43521</v>
      </c>
      <c r="UUE18" s="2" t="s">
        <v>68</v>
      </c>
      <c r="UUF18" s="7"/>
      <c r="UUG18"/>
      <c r="UUH18"/>
      <c r="UUI18" s="10">
        <v>-1.01</v>
      </c>
      <c r="UUJ18" s="2" t="s">
        <v>65</v>
      </c>
      <c r="UUK18" t="s">
        <v>14</v>
      </c>
      <c r="UUL18" s="5">
        <v>43521</v>
      </c>
      <c r="UUM18" s="2" t="s">
        <v>68</v>
      </c>
      <c r="UUN18" s="7"/>
      <c r="UUO18"/>
      <c r="UUP18"/>
      <c r="UUQ18" s="10">
        <v>-1.01</v>
      </c>
      <c r="UUR18" s="2" t="s">
        <v>65</v>
      </c>
      <c r="UUS18" t="s">
        <v>14</v>
      </c>
      <c r="UUT18" s="5">
        <v>43521</v>
      </c>
      <c r="UUU18" s="2" t="s">
        <v>68</v>
      </c>
      <c r="UUV18" s="7"/>
      <c r="UUW18"/>
      <c r="UUX18"/>
      <c r="UUY18" s="10">
        <v>-1.01</v>
      </c>
      <c r="UUZ18" s="2" t="s">
        <v>65</v>
      </c>
      <c r="UVA18" t="s">
        <v>14</v>
      </c>
      <c r="UVB18" s="5">
        <v>43521</v>
      </c>
      <c r="UVC18" s="2" t="s">
        <v>68</v>
      </c>
      <c r="UVD18" s="7"/>
      <c r="UVE18"/>
      <c r="UVF18"/>
      <c r="UVG18" s="10">
        <v>-1.01</v>
      </c>
      <c r="UVH18" s="2" t="s">
        <v>65</v>
      </c>
      <c r="UVI18" t="s">
        <v>14</v>
      </c>
      <c r="UVJ18" s="5">
        <v>43521</v>
      </c>
      <c r="UVK18" s="2" t="s">
        <v>68</v>
      </c>
      <c r="UVL18" s="7"/>
      <c r="UVM18"/>
      <c r="UVN18"/>
      <c r="UVO18" s="10">
        <v>-1.01</v>
      </c>
      <c r="UVP18" s="2" t="s">
        <v>65</v>
      </c>
      <c r="UVQ18" t="s">
        <v>14</v>
      </c>
      <c r="UVR18" s="5">
        <v>43521</v>
      </c>
      <c r="UVS18" s="2" t="s">
        <v>68</v>
      </c>
      <c r="UVT18" s="7"/>
      <c r="UVU18"/>
      <c r="UVV18"/>
      <c r="UVW18" s="10">
        <v>-1.01</v>
      </c>
      <c r="UVX18" s="2" t="s">
        <v>65</v>
      </c>
      <c r="UVY18" t="s">
        <v>14</v>
      </c>
      <c r="UVZ18" s="5">
        <v>43521</v>
      </c>
      <c r="UWA18" s="2" t="s">
        <v>68</v>
      </c>
      <c r="UWB18" s="7"/>
      <c r="UWC18"/>
      <c r="UWD18"/>
      <c r="UWE18" s="10">
        <v>-1.01</v>
      </c>
      <c r="UWF18" s="2" t="s">
        <v>65</v>
      </c>
      <c r="UWG18" t="s">
        <v>14</v>
      </c>
      <c r="UWH18" s="5">
        <v>43521</v>
      </c>
      <c r="UWI18" s="2" t="s">
        <v>68</v>
      </c>
      <c r="UWJ18" s="7"/>
      <c r="UWK18"/>
      <c r="UWL18"/>
      <c r="UWM18" s="10">
        <v>-1.01</v>
      </c>
      <c r="UWN18" s="2" t="s">
        <v>65</v>
      </c>
      <c r="UWO18" t="s">
        <v>14</v>
      </c>
      <c r="UWP18" s="5">
        <v>43521</v>
      </c>
      <c r="UWQ18" s="2" t="s">
        <v>68</v>
      </c>
      <c r="UWR18" s="7"/>
      <c r="UWS18"/>
      <c r="UWT18"/>
      <c r="UWU18" s="10">
        <v>-1.01</v>
      </c>
      <c r="UWV18" s="2" t="s">
        <v>65</v>
      </c>
      <c r="UWW18" t="s">
        <v>14</v>
      </c>
      <c r="UWX18" s="5">
        <v>43521</v>
      </c>
      <c r="UWY18" s="2" t="s">
        <v>68</v>
      </c>
      <c r="UWZ18" s="7"/>
      <c r="UXA18"/>
      <c r="UXB18"/>
      <c r="UXC18" s="10">
        <v>-1.01</v>
      </c>
      <c r="UXD18" s="2" t="s">
        <v>65</v>
      </c>
      <c r="UXE18" t="s">
        <v>14</v>
      </c>
      <c r="UXF18" s="5">
        <v>43521</v>
      </c>
      <c r="UXG18" s="2" t="s">
        <v>68</v>
      </c>
      <c r="UXH18" s="7"/>
      <c r="UXI18"/>
      <c r="UXJ18"/>
      <c r="UXK18" s="10">
        <v>-1.01</v>
      </c>
      <c r="UXL18" s="2" t="s">
        <v>65</v>
      </c>
      <c r="UXM18" t="s">
        <v>14</v>
      </c>
      <c r="UXN18" s="5">
        <v>43521</v>
      </c>
      <c r="UXO18" s="2" t="s">
        <v>68</v>
      </c>
      <c r="UXP18" s="7"/>
      <c r="UXQ18"/>
      <c r="UXR18"/>
      <c r="UXS18" s="10">
        <v>-1.01</v>
      </c>
      <c r="UXT18" s="2" t="s">
        <v>65</v>
      </c>
      <c r="UXU18" t="s">
        <v>14</v>
      </c>
      <c r="UXV18" s="5">
        <v>43521</v>
      </c>
      <c r="UXW18" s="2" t="s">
        <v>68</v>
      </c>
      <c r="UXX18" s="7"/>
      <c r="UXY18"/>
      <c r="UXZ18"/>
      <c r="UYA18" s="10">
        <v>-1.01</v>
      </c>
      <c r="UYB18" s="2" t="s">
        <v>65</v>
      </c>
      <c r="UYC18" t="s">
        <v>14</v>
      </c>
      <c r="UYD18" s="5">
        <v>43521</v>
      </c>
      <c r="UYE18" s="2" t="s">
        <v>68</v>
      </c>
      <c r="UYF18" s="7"/>
      <c r="UYG18"/>
      <c r="UYH18"/>
      <c r="UYI18" s="10">
        <v>-1.01</v>
      </c>
      <c r="UYJ18" s="2" t="s">
        <v>65</v>
      </c>
      <c r="UYK18" t="s">
        <v>14</v>
      </c>
      <c r="UYL18" s="5">
        <v>43521</v>
      </c>
      <c r="UYM18" s="2" t="s">
        <v>68</v>
      </c>
      <c r="UYN18" s="7"/>
      <c r="UYO18"/>
      <c r="UYP18"/>
      <c r="UYQ18" s="10">
        <v>-1.01</v>
      </c>
      <c r="UYR18" s="2" t="s">
        <v>65</v>
      </c>
      <c r="UYS18" t="s">
        <v>14</v>
      </c>
      <c r="UYT18" s="5">
        <v>43521</v>
      </c>
      <c r="UYU18" s="2" t="s">
        <v>68</v>
      </c>
      <c r="UYV18" s="7"/>
      <c r="UYW18"/>
      <c r="UYX18"/>
      <c r="UYY18" s="10">
        <v>-1.01</v>
      </c>
      <c r="UYZ18" s="2" t="s">
        <v>65</v>
      </c>
      <c r="UZA18" t="s">
        <v>14</v>
      </c>
      <c r="UZB18" s="5">
        <v>43521</v>
      </c>
      <c r="UZC18" s="2" t="s">
        <v>68</v>
      </c>
      <c r="UZD18" s="7"/>
      <c r="UZE18"/>
      <c r="UZF18"/>
      <c r="UZG18" s="10">
        <v>-1.01</v>
      </c>
      <c r="UZH18" s="2" t="s">
        <v>65</v>
      </c>
      <c r="UZI18" t="s">
        <v>14</v>
      </c>
      <c r="UZJ18" s="5">
        <v>43521</v>
      </c>
      <c r="UZK18" s="2" t="s">
        <v>68</v>
      </c>
      <c r="UZL18" s="7"/>
      <c r="UZM18"/>
      <c r="UZN18"/>
      <c r="UZO18" s="10">
        <v>-1.01</v>
      </c>
      <c r="UZP18" s="2" t="s">
        <v>65</v>
      </c>
      <c r="UZQ18" t="s">
        <v>14</v>
      </c>
      <c r="UZR18" s="5">
        <v>43521</v>
      </c>
      <c r="UZS18" s="2" t="s">
        <v>68</v>
      </c>
      <c r="UZT18" s="7"/>
      <c r="UZU18"/>
      <c r="UZV18"/>
      <c r="UZW18" s="10">
        <v>-1.01</v>
      </c>
      <c r="UZX18" s="2" t="s">
        <v>65</v>
      </c>
      <c r="UZY18" t="s">
        <v>14</v>
      </c>
      <c r="UZZ18" s="5">
        <v>43521</v>
      </c>
      <c r="VAA18" s="2" t="s">
        <v>68</v>
      </c>
      <c r="VAB18" s="7"/>
      <c r="VAC18"/>
      <c r="VAD18"/>
      <c r="VAE18" s="10">
        <v>-1.01</v>
      </c>
      <c r="VAF18" s="2" t="s">
        <v>65</v>
      </c>
      <c r="VAG18" t="s">
        <v>14</v>
      </c>
      <c r="VAH18" s="5">
        <v>43521</v>
      </c>
      <c r="VAI18" s="2" t="s">
        <v>68</v>
      </c>
      <c r="VAJ18" s="7"/>
      <c r="VAK18"/>
      <c r="VAL18"/>
      <c r="VAM18" s="10">
        <v>-1.01</v>
      </c>
      <c r="VAN18" s="2" t="s">
        <v>65</v>
      </c>
      <c r="VAO18" t="s">
        <v>14</v>
      </c>
      <c r="VAP18" s="5">
        <v>43521</v>
      </c>
      <c r="VAQ18" s="2" t="s">
        <v>68</v>
      </c>
      <c r="VAR18" s="7"/>
      <c r="VAS18"/>
      <c r="VAT18"/>
      <c r="VAU18" s="10">
        <v>-1.01</v>
      </c>
      <c r="VAV18" s="2" t="s">
        <v>65</v>
      </c>
      <c r="VAW18" t="s">
        <v>14</v>
      </c>
      <c r="VAX18" s="5">
        <v>43521</v>
      </c>
      <c r="VAY18" s="2" t="s">
        <v>68</v>
      </c>
      <c r="VAZ18" s="7"/>
      <c r="VBA18"/>
      <c r="VBB18"/>
      <c r="VBC18" s="10">
        <v>-1.01</v>
      </c>
      <c r="VBD18" s="2" t="s">
        <v>65</v>
      </c>
      <c r="VBE18" t="s">
        <v>14</v>
      </c>
      <c r="VBF18" s="5">
        <v>43521</v>
      </c>
      <c r="VBG18" s="2" t="s">
        <v>68</v>
      </c>
      <c r="VBH18" s="7"/>
      <c r="VBI18"/>
      <c r="VBJ18"/>
      <c r="VBK18" s="10">
        <v>-1.01</v>
      </c>
      <c r="VBL18" s="2" t="s">
        <v>65</v>
      </c>
      <c r="VBM18" t="s">
        <v>14</v>
      </c>
      <c r="VBN18" s="5">
        <v>43521</v>
      </c>
      <c r="VBO18" s="2" t="s">
        <v>68</v>
      </c>
      <c r="VBP18" s="7"/>
      <c r="VBQ18"/>
      <c r="VBR18"/>
      <c r="VBS18" s="10">
        <v>-1.01</v>
      </c>
      <c r="VBT18" s="2" t="s">
        <v>65</v>
      </c>
      <c r="VBU18" t="s">
        <v>14</v>
      </c>
      <c r="VBV18" s="5">
        <v>43521</v>
      </c>
      <c r="VBW18" s="2" t="s">
        <v>68</v>
      </c>
      <c r="VBX18" s="7"/>
      <c r="VBY18"/>
      <c r="VBZ18"/>
      <c r="VCA18" s="10">
        <v>-1.01</v>
      </c>
      <c r="VCB18" s="2" t="s">
        <v>65</v>
      </c>
      <c r="VCC18" t="s">
        <v>14</v>
      </c>
      <c r="VCD18" s="5">
        <v>43521</v>
      </c>
      <c r="VCE18" s="2" t="s">
        <v>68</v>
      </c>
      <c r="VCF18" s="7"/>
      <c r="VCG18"/>
      <c r="VCH18"/>
      <c r="VCI18" s="10">
        <v>-1.01</v>
      </c>
      <c r="VCJ18" s="2" t="s">
        <v>65</v>
      </c>
      <c r="VCK18" t="s">
        <v>14</v>
      </c>
      <c r="VCL18" s="5">
        <v>43521</v>
      </c>
      <c r="VCM18" s="2" t="s">
        <v>68</v>
      </c>
      <c r="VCN18" s="7"/>
      <c r="VCO18"/>
      <c r="VCP18"/>
      <c r="VCQ18" s="10">
        <v>-1.01</v>
      </c>
      <c r="VCR18" s="2" t="s">
        <v>65</v>
      </c>
      <c r="VCS18" t="s">
        <v>14</v>
      </c>
      <c r="VCT18" s="5">
        <v>43521</v>
      </c>
      <c r="VCU18" s="2" t="s">
        <v>68</v>
      </c>
      <c r="VCV18" s="7"/>
      <c r="VCW18"/>
      <c r="VCX18"/>
      <c r="VCY18" s="10">
        <v>-1.01</v>
      </c>
      <c r="VCZ18" s="2" t="s">
        <v>65</v>
      </c>
      <c r="VDA18" t="s">
        <v>14</v>
      </c>
      <c r="VDB18" s="5">
        <v>43521</v>
      </c>
      <c r="VDC18" s="2" t="s">
        <v>68</v>
      </c>
      <c r="VDD18" s="7"/>
      <c r="VDE18"/>
      <c r="VDF18"/>
      <c r="VDG18" s="10">
        <v>-1.01</v>
      </c>
      <c r="VDH18" s="2" t="s">
        <v>65</v>
      </c>
      <c r="VDI18" t="s">
        <v>14</v>
      </c>
      <c r="VDJ18" s="5">
        <v>43521</v>
      </c>
      <c r="VDK18" s="2" t="s">
        <v>68</v>
      </c>
      <c r="VDL18" s="7"/>
      <c r="VDM18"/>
      <c r="VDN18"/>
      <c r="VDO18" s="10">
        <v>-1.01</v>
      </c>
      <c r="VDP18" s="2" t="s">
        <v>65</v>
      </c>
      <c r="VDQ18" t="s">
        <v>14</v>
      </c>
      <c r="VDR18" s="5">
        <v>43521</v>
      </c>
      <c r="VDS18" s="2" t="s">
        <v>68</v>
      </c>
      <c r="VDT18" s="7"/>
      <c r="VDU18"/>
      <c r="VDV18"/>
      <c r="VDW18" s="10">
        <v>-1.01</v>
      </c>
      <c r="VDX18" s="2" t="s">
        <v>65</v>
      </c>
      <c r="VDY18" t="s">
        <v>14</v>
      </c>
      <c r="VDZ18" s="5">
        <v>43521</v>
      </c>
      <c r="VEA18" s="2" t="s">
        <v>68</v>
      </c>
      <c r="VEB18" s="7"/>
      <c r="VEC18"/>
      <c r="VED18"/>
      <c r="VEE18" s="10">
        <v>-1.01</v>
      </c>
      <c r="VEF18" s="2" t="s">
        <v>65</v>
      </c>
      <c r="VEG18" t="s">
        <v>14</v>
      </c>
      <c r="VEH18" s="5">
        <v>43521</v>
      </c>
      <c r="VEI18" s="2" t="s">
        <v>68</v>
      </c>
      <c r="VEJ18" s="7"/>
      <c r="VEK18"/>
      <c r="VEL18"/>
      <c r="VEM18" s="10">
        <v>-1.01</v>
      </c>
      <c r="VEN18" s="2" t="s">
        <v>65</v>
      </c>
      <c r="VEO18" t="s">
        <v>14</v>
      </c>
      <c r="VEP18" s="5">
        <v>43521</v>
      </c>
      <c r="VEQ18" s="2" t="s">
        <v>68</v>
      </c>
      <c r="VER18" s="7"/>
      <c r="VES18"/>
      <c r="VET18"/>
      <c r="VEU18" s="10">
        <v>-1.01</v>
      </c>
      <c r="VEV18" s="2" t="s">
        <v>65</v>
      </c>
      <c r="VEW18" t="s">
        <v>14</v>
      </c>
      <c r="VEX18" s="5">
        <v>43521</v>
      </c>
      <c r="VEY18" s="2" t="s">
        <v>68</v>
      </c>
      <c r="VEZ18" s="7"/>
      <c r="VFA18"/>
      <c r="VFB18"/>
      <c r="VFC18" s="10">
        <v>-1.01</v>
      </c>
      <c r="VFD18" s="2" t="s">
        <v>65</v>
      </c>
      <c r="VFE18" t="s">
        <v>14</v>
      </c>
      <c r="VFF18" s="5">
        <v>43521</v>
      </c>
      <c r="VFG18" s="2" t="s">
        <v>68</v>
      </c>
      <c r="VFH18" s="7"/>
      <c r="VFI18"/>
      <c r="VFJ18"/>
      <c r="VFK18" s="10">
        <v>-1.01</v>
      </c>
      <c r="VFL18" s="2" t="s">
        <v>65</v>
      </c>
      <c r="VFM18" t="s">
        <v>14</v>
      </c>
      <c r="VFN18" s="5">
        <v>43521</v>
      </c>
      <c r="VFO18" s="2" t="s">
        <v>68</v>
      </c>
      <c r="VFP18" s="7"/>
      <c r="VFQ18"/>
      <c r="VFR18"/>
      <c r="VFS18" s="10">
        <v>-1.01</v>
      </c>
      <c r="VFT18" s="2" t="s">
        <v>65</v>
      </c>
      <c r="VFU18" t="s">
        <v>14</v>
      </c>
      <c r="VFV18" s="5">
        <v>43521</v>
      </c>
      <c r="VFW18" s="2" t="s">
        <v>68</v>
      </c>
      <c r="VFX18" s="7"/>
      <c r="VFY18"/>
      <c r="VFZ18"/>
      <c r="VGA18" s="10">
        <v>-1.01</v>
      </c>
      <c r="VGB18" s="2" t="s">
        <v>65</v>
      </c>
      <c r="VGC18" t="s">
        <v>14</v>
      </c>
      <c r="VGD18" s="5">
        <v>43521</v>
      </c>
      <c r="VGE18" s="2" t="s">
        <v>68</v>
      </c>
      <c r="VGF18" s="7"/>
      <c r="VGG18"/>
      <c r="VGH18"/>
      <c r="VGI18" s="10">
        <v>-1.01</v>
      </c>
      <c r="VGJ18" s="2" t="s">
        <v>65</v>
      </c>
      <c r="VGK18" t="s">
        <v>14</v>
      </c>
      <c r="VGL18" s="5">
        <v>43521</v>
      </c>
      <c r="VGM18" s="2" t="s">
        <v>68</v>
      </c>
      <c r="VGN18" s="7"/>
      <c r="VGO18"/>
      <c r="VGP18"/>
      <c r="VGQ18" s="10">
        <v>-1.01</v>
      </c>
      <c r="VGR18" s="2" t="s">
        <v>65</v>
      </c>
      <c r="VGS18" t="s">
        <v>14</v>
      </c>
      <c r="VGT18" s="5">
        <v>43521</v>
      </c>
      <c r="VGU18" s="2" t="s">
        <v>68</v>
      </c>
      <c r="VGV18" s="7"/>
      <c r="VGW18"/>
      <c r="VGX18"/>
      <c r="VGY18" s="10">
        <v>-1.01</v>
      </c>
      <c r="VGZ18" s="2" t="s">
        <v>65</v>
      </c>
      <c r="VHA18" t="s">
        <v>14</v>
      </c>
      <c r="VHB18" s="5">
        <v>43521</v>
      </c>
      <c r="VHC18" s="2" t="s">
        <v>68</v>
      </c>
      <c r="VHD18" s="7"/>
      <c r="VHE18"/>
      <c r="VHF18"/>
      <c r="VHG18" s="10">
        <v>-1.01</v>
      </c>
      <c r="VHH18" s="2" t="s">
        <v>65</v>
      </c>
      <c r="VHI18" t="s">
        <v>14</v>
      </c>
      <c r="VHJ18" s="5">
        <v>43521</v>
      </c>
      <c r="VHK18" s="2" t="s">
        <v>68</v>
      </c>
      <c r="VHL18" s="7"/>
      <c r="VHM18"/>
      <c r="VHN18"/>
      <c r="VHO18" s="10">
        <v>-1.01</v>
      </c>
      <c r="VHP18" s="2" t="s">
        <v>65</v>
      </c>
      <c r="VHQ18" t="s">
        <v>14</v>
      </c>
      <c r="VHR18" s="5">
        <v>43521</v>
      </c>
      <c r="VHS18" s="2" t="s">
        <v>68</v>
      </c>
      <c r="VHT18" s="7"/>
      <c r="VHU18"/>
      <c r="VHV18"/>
      <c r="VHW18" s="10">
        <v>-1.01</v>
      </c>
      <c r="VHX18" s="2" t="s">
        <v>65</v>
      </c>
      <c r="VHY18" t="s">
        <v>14</v>
      </c>
      <c r="VHZ18" s="5">
        <v>43521</v>
      </c>
      <c r="VIA18" s="2" t="s">
        <v>68</v>
      </c>
      <c r="VIB18" s="7"/>
      <c r="VIC18"/>
      <c r="VID18"/>
      <c r="VIE18" s="10">
        <v>-1.01</v>
      </c>
      <c r="VIF18" s="2" t="s">
        <v>65</v>
      </c>
      <c r="VIG18" t="s">
        <v>14</v>
      </c>
      <c r="VIH18" s="5">
        <v>43521</v>
      </c>
      <c r="VII18" s="2" t="s">
        <v>68</v>
      </c>
      <c r="VIJ18" s="7"/>
      <c r="VIK18"/>
      <c r="VIL18"/>
      <c r="VIM18" s="10">
        <v>-1.01</v>
      </c>
      <c r="VIN18" s="2" t="s">
        <v>65</v>
      </c>
      <c r="VIO18" t="s">
        <v>14</v>
      </c>
      <c r="VIP18" s="5">
        <v>43521</v>
      </c>
      <c r="VIQ18" s="2" t="s">
        <v>68</v>
      </c>
      <c r="VIR18" s="7"/>
      <c r="VIS18"/>
      <c r="VIT18"/>
      <c r="VIU18" s="10">
        <v>-1.01</v>
      </c>
      <c r="VIV18" s="2" t="s">
        <v>65</v>
      </c>
      <c r="VIW18" t="s">
        <v>14</v>
      </c>
      <c r="VIX18" s="5">
        <v>43521</v>
      </c>
      <c r="VIY18" s="2" t="s">
        <v>68</v>
      </c>
      <c r="VIZ18" s="7"/>
      <c r="VJA18"/>
      <c r="VJB18"/>
      <c r="VJC18" s="10">
        <v>-1.01</v>
      </c>
      <c r="VJD18" s="2" t="s">
        <v>65</v>
      </c>
      <c r="VJE18" t="s">
        <v>14</v>
      </c>
      <c r="VJF18" s="5">
        <v>43521</v>
      </c>
      <c r="VJG18" s="2" t="s">
        <v>68</v>
      </c>
      <c r="VJH18" s="7"/>
      <c r="VJI18"/>
      <c r="VJJ18"/>
      <c r="VJK18" s="10">
        <v>-1.01</v>
      </c>
      <c r="VJL18" s="2" t="s">
        <v>65</v>
      </c>
      <c r="VJM18" t="s">
        <v>14</v>
      </c>
      <c r="VJN18" s="5">
        <v>43521</v>
      </c>
      <c r="VJO18" s="2" t="s">
        <v>68</v>
      </c>
      <c r="VJP18" s="7"/>
      <c r="VJQ18"/>
      <c r="VJR18"/>
      <c r="VJS18" s="10">
        <v>-1.01</v>
      </c>
      <c r="VJT18" s="2" t="s">
        <v>65</v>
      </c>
      <c r="VJU18" t="s">
        <v>14</v>
      </c>
      <c r="VJV18" s="5">
        <v>43521</v>
      </c>
      <c r="VJW18" s="2" t="s">
        <v>68</v>
      </c>
      <c r="VJX18" s="7"/>
      <c r="VJY18"/>
      <c r="VJZ18"/>
      <c r="VKA18" s="10">
        <v>-1.01</v>
      </c>
      <c r="VKB18" s="2" t="s">
        <v>65</v>
      </c>
      <c r="VKC18" t="s">
        <v>14</v>
      </c>
      <c r="VKD18" s="5">
        <v>43521</v>
      </c>
      <c r="VKE18" s="2" t="s">
        <v>68</v>
      </c>
      <c r="VKF18" s="7"/>
      <c r="VKG18"/>
      <c r="VKH18"/>
      <c r="VKI18" s="10">
        <v>-1.01</v>
      </c>
      <c r="VKJ18" s="2" t="s">
        <v>65</v>
      </c>
      <c r="VKK18" t="s">
        <v>14</v>
      </c>
      <c r="VKL18" s="5">
        <v>43521</v>
      </c>
      <c r="VKM18" s="2" t="s">
        <v>68</v>
      </c>
      <c r="VKN18" s="7"/>
      <c r="VKO18"/>
      <c r="VKP18"/>
      <c r="VKQ18" s="10">
        <v>-1.01</v>
      </c>
      <c r="VKR18" s="2" t="s">
        <v>65</v>
      </c>
      <c r="VKS18" t="s">
        <v>14</v>
      </c>
      <c r="VKT18" s="5">
        <v>43521</v>
      </c>
      <c r="VKU18" s="2" t="s">
        <v>68</v>
      </c>
      <c r="VKV18" s="7"/>
      <c r="VKW18"/>
      <c r="VKX18"/>
      <c r="VKY18" s="10">
        <v>-1.01</v>
      </c>
      <c r="VKZ18" s="2" t="s">
        <v>65</v>
      </c>
      <c r="VLA18" t="s">
        <v>14</v>
      </c>
      <c r="VLB18" s="5">
        <v>43521</v>
      </c>
      <c r="VLC18" s="2" t="s">
        <v>68</v>
      </c>
      <c r="VLD18" s="7"/>
      <c r="VLE18"/>
      <c r="VLF18"/>
      <c r="VLG18" s="10">
        <v>-1.01</v>
      </c>
      <c r="VLH18" s="2" t="s">
        <v>65</v>
      </c>
      <c r="VLI18" t="s">
        <v>14</v>
      </c>
      <c r="VLJ18" s="5">
        <v>43521</v>
      </c>
      <c r="VLK18" s="2" t="s">
        <v>68</v>
      </c>
      <c r="VLL18" s="7"/>
      <c r="VLM18"/>
      <c r="VLN18"/>
      <c r="VLO18" s="10">
        <v>-1.01</v>
      </c>
      <c r="VLP18" s="2" t="s">
        <v>65</v>
      </c>
      <c r="VLQ18" t="s">
        <v>14</v>
      </c>
      <c r="VLR18" s="5">
        <v>43521</v>
      </c>
      <c r="VLS18" s="2" t="s">
        <v>68</v>
      </c>
      <c r="VLT18" s="7"/>
      <c r="VLU18"/>
      <c r="VLV18"/>
      <c r="VLW18" s="10">
        <v>-1.01</v>
      </c>
      <c r="VLX18" s="2" t="s">
        <v>65</v>
      </c>
      <c r="VLY18" t="s">
        <v>14</v>
      </c>
      <c r="VLZ18" s="5">
        <v>43521</v>
      </c>
      <c r="VMA18" s="2" t="s">
        <v>68</v>
      </c>
      <c r="VMB18" s="7"/>
      <c r="VMC18"/>
      <c r="VMD18"/>
      <c r="VME18" s="10">
        <v>-1.01</v>
      </c>
      <c r="VMF18" s="2" t="s">
        <v>65</v>
      </c>
      <c r="VMG18" t="s">
        <v>14</v>
      </c>
      <c r="VMH18" s="5">
        <v>43521</v>
      </c>
      <c r="VMI18" s="2" t="s">
        <v>68</v>
      </c>
      <c r="VMJ18" s="7"/>
      <c r="VMK18"/>
      <c r="VML18"/>
      <c r="VMM18" s="10">
        <v>-1.01</v>
      </c>
      <c r="VMN18" s="2" t="s">
        <v>65</v>
      </c>
      <c r="VMO18" t="s">
        <v>14</v>
      </c>
      <c r="VMP18" s="5">
        <v>43521</v>
      </c>
      <c r="VMQ18" s="2" t="s">
        <v>68</v>
      </c>
      <c r="VMR18" s="7"/>
      <c r="VMS18"/>
      <c r="VMT18"/>
      <c r="VMU18" s="10">
        <v>-1.01</v>
      </c>
      <c r="VMV18" s="2" t="s">
        <v>65</v>
      </c>
      <c r="VMW18" t="s">
        <v>14</v>
      </c>
      <c r="VMX18" s="5">
        <v>43521</v>
      </c>
      <c r="VMY18" s="2" t="s">
        <v>68</v>
      </c>
      <c r="VMZ18" s="7"/>
      <c r="VNA18"/>
      <c r="VNB18"/>
      <c r="VNC18" s="10">
        <v>-1.01</v>
      </c>
      <c r="VND18" s="2" t="s">
        <v>65</v>
      </c>
      <c r="VNE18" t="s">
        <v>14</v>
      </c>
      <c r="VNF18" s="5">
        <v>43521</v>
      </c>
      <c r="VNG18" s="2" t="s">
        <v>68</v>
      </c>
      <c r="VNH18" s="7"/>
      <c r="VNI18"/>
      <c r="VNJ18"/>
      <c r="VNK18" s="10">
        <v>-1.01</v>
      </c>
      <c r="VNL18" s="2" t="s">
        <v>65</v>
      </c>
      <c r="VNM18" t="s">
        <v>14</v>
      </c>
      <c r="VNN18" s="5">
        <v>43521</v>
      </c>
      <c r="VNO18" s="2" t="s">
        <v>68</v>
      </c>
      <c r="VNP18" s="7"/>
      <c r="VNQ18"/>
      <c r="VNR18"/>
      <c r="VNS18" s="10">
        <v>-1.01</v>
      </c>
      <c r="VNT18" s="2" t="s">
        <v>65</v>
      </c>
      <c r="VNU18" t="s">
        <v>14</v>
      </c>
      <c r="VNV18" s="5">
        <v>43521</v>
      </c>
      <c r="VNW18" s="2" t="s">
        <v>68</v>
      </c>
      <c r="VNX18" s="7"/>
      <c r="VNY18"/>
      <c r="VNZ18"/>
      <c r="VOA18" s="10">
        <v>-1.01</v>
      </c>
      <c r="VOB18" s="2" t="s">
        <v>65</v>
      </c>
      <c r="VOC18" t="s">
        <v>14</v>
      </c>
      <c r="VOD18" s="5">
        <v>43521</v>
      </c>
      <c r="VOE18" s="2" t="s">
        <v>68</v>
      </c>
      <c r="VOF18" s="7"/>
      <c r="VOG18"/>
      <c r="VOH18"/>
      <c r="VOI18" s="10">
        <v>-1.01</v>
      </c>
      <c r="VOJ18" s="2" t="s">
        <v>65</v>
      </c>
      <c r="VOK18" t="s">
        <v>14</v>
      </c>
      <c r="VOL18" s="5">
        <v>43521</v>
      </c>
      <c r="VOM18" s="2" t="s">
        <v>68</v>
      </c>
      <c r="VON18" s="7"/>
      <c r="VOO18"/>
      <c r="VOP18"/>
      <c r="VOQ18" s="10">
        <v>-1.01</v>
      </c>
      <c r="VOR18" s="2" t="s">
        <v>65</v>
      </c>
      <c r="VOS18" t="s">
        <v>14</v>
      </c>
      <c r="VOT18" s="5">
        <v>43521</v>
      </c>
      <c r="VOU18" s="2" t="s">
        <v>68</v>
      </c>
      <c r="VOV18" s="7"/>
      <c r="VOW18"/>
      <c r="VOX18"/>
      <c r="VOY18" s="10">
        <v>-1.01</v>
      </c>
      <c r="VOZ18" s="2" t="s">
        <v>65</v>
      </c>
      <c r="VPA18" t="s">
        <v>14</v>
      </c>
      <c r="VPB18" s="5">
        <v>43521</v>
      </c>
      <c r="VPC18" s="2" t="s">
        <v>68</v>
      </c>
      <c r="VPD18" s="7"/>
      <c r="VPE18"/>
      <c r="VPF18"/>
      <c r="VPG18" s="10">
        <v>-1.01</v>
      </c>
      <c r="VPH18" s="2" t="s">
        <v>65</v>
      </c>
      <c r="VPI18" t="s">
        <v>14</v>
      </c>
      <c r="VPJ18" s="5">
        <v>43521</v>
      </c>
      <c r="VPK18" s="2" t="s">
        <v>68</v>
      </c>
      <c r="VPL18" s="7"/>
      <c r="VPM18"/>
      <c r="VPN18"/>
      <c r="VPO18" s="10">
        <v>-1.01</v>
      </c>
      <c r="VPP18" s="2" t="s">
        <v>65</v>
      </c>
      <c r="VPQ18" t="s">
        <v>14</v>
      </c>
      <c r="VPR18" s="5">
        <v>43521</v>
      </c>
      <c r="VPS18" s="2" t="s">
        <v>68</v>
      </c>
      <c r="VPT18" s="7"/>
      <c r="VPU18"/>
      <c r="VPV18"/>
      <c r="VPW18" s="10">
        <v>-1.01</v>
      </c>
      <c r="VPX18" s="2" t="s">
        <v>65</v>
      </c>
      <c r="VPY18" t="s">
        <v>14</v>
      </c>
      <c r="VPZ18" s="5">
        <v>43521</v>
      </c>
      <c r="VQA18" s="2" t="s">
        <v>68</v>
      </c>
      <c r="VQB18" s="7"/>
      <c r="VQC18"/>
      <c r="VQD18"/>
      <c r="VQE18" s="10">
        <v>-1.01</v>
      </c>
      <c r="VQF18" s="2" t="s">
        <v>65</v>
      </c>
      <c r="VQG18" t="s">
        <v>14</v>
      </c>
      <c r="VQH18" s="5">
        <v>43521</v>
      </c>
      <c r="VQI18" s="2" t="s">
        <v>68</v>
      </c>
      <c r="VQJ18" s="7"/>
      <c r="VQK18"/>
      <c r="VQL18"/>
      <c r="VQM18" s="10">
        <v>-1.01</v>
      </c>
      <c r="VQN18" s="2" t="s">
        <v>65</v>
      </c>
      <c r="VQO18" t="s">
        <v>14</v>
      </c>
      <c r="VQP18" s="5">
        <v>43521</v>
      </c>
      <c r="VQQ18" s="2" t="s">
        <v>68</v>
      </c>
      <c r="VQR18" s="7"/>
      <c r="VQS18"/>
      <c r="VQT18"/>
      <c r="VQU18" s="10">
        <v>-1.01</v>
      </c>
      <c r="VQV18" s="2" t="s">
        <v>65</v>
      </c>
      <c r="VQW18" t="s">
        <v>14</v>
      </c>
      <c r="VQX18" s="5">
        <v>43521</v>
      </c>
      <c r="VQY18" s="2" t="s">
        <v>68</v>
      </c>
      <c r="VQZ18" s="7"/>
      <c r="VRA18"/>
      <c r="VRB18"/>
      <c r="VRC18" s="10">
        <v>-1.01</v>
      </c>
      <c r="VRD18" s="2" t="s">
        <v>65</v>
      </c>
      <c r="VRE18" t="s">
        <v>14</v>
      </c>
      <c r="VRF18" s="5">
        <v>43521</v>
      </c>
      <c r="VRG18" s="2" t="s">
        <v>68</v>
      </c>
      <c r="VRH18" s="7"/>
      <c r="VRI18"/>
      <c r="VRJ18"/>
      <c r="VRK18" s="10">
        <v>-1.01</v>
      </c>
      <c r="VRL18" s="2" t="s">
        <v>65</v>
      </c>
      <c r="VRM18" t="s">
        <v>14</v>
      </c>
      <c r="VRN18" s="5">
        <v>43521</v>
      </c>
      <c r="VRO18" s="2" t="s">
        <v>68</v>
      </c>
      <c r="VRP18" s="7"/>
      <c r="VRQ18"/>
      <c r="VRR18"/>
      <c r="VRS18" s="10">
        <v>-1.01</v>
      </c>
      <c r="VRT18" s="2" t="s">
        <v>65</v>
      </c>
      <c r="VRU18" t="s">
        <v>14</v>
      </c>
      <c r="VRV18" s="5">
        <v>43521</v>
      </c>
      <c r="VRW18" s="2" t="s">
        <v>68</v>
      </c>
      <c r="VRX18" s="7"/>
      <c r="VRY18"/>
      <c r="VRZ18"/>
      <c r="VSA18" s="10">
        <v>-1.01</v>
      </c>
      <c r="VSB18" s="2" t="s">
        <v>65</v>
      </c>
      <c r="VSC18" t="s">
        <v>14</v>
      </c>
      <c r="VSD18" s="5">
        <v>43521</v>
      </c>
      <c r="VSE18" s="2" t="s">
        <v>68</v>
      </c>
      <c r="VSF18" s="7"/>
      <c r="VSG18"/>
      <c r="VSH18"/>
      <c r="VSI18" s="10">
        <v>-1.01</v>
      </c>
      <c r="VSJ18" s="2" t="s">
        <v>65</v>
      </c>
      <c r="VSK18" t="s">
        <v>14</v>
      </c>
      <c r="VSL18" s="5">
        <v>43521</v>
      </c>
      <c r="VSM18" s="2" t="s">
        <v>68</v>
      </c>
      <c r="VSN18" s="7"/>
      <c r="VSO18"/>
      <c r="VSP18"/>
      <c r="VSQ18" s="10">
        <v>-1.01</v>
      </c>
      <c r="VSR18" s="2" t="s">
        <v>65</v>
      </c>
      <c r="VSS18" t="s">
        <v>14</v>
      </c>
      <c r="VST18" s="5">
        <v>43521</v>
      </c>
      <c r="VSU18" s="2" t="s">
        <v>68</v>
      </c>
      <c r="VSV18" s="7"/>
      <c r="VSW18"/>
      <c r="VSX18"/>
      <c r="VSY18" s="10">
        <v>-1.01</v>
      </c>
      <c r="VSZ18" s="2" t="s">
        <v>65</v>
      </c>
      <c r="VTA18" t="s">
        <v>14</v>
      </c>
      <c r="VTB18" s="5">
        <v>43521</v>
      </c>
      <c r="VTC18" s="2" t="s">
        <v>68</v>
      </c>
      <c r="VTD18" s="7"/>
      <c r="VTE18"/>
      <c r="VTF18"/>
      <c r="VTG18" s="10">
        <v>-1.01</v>
      </c>
      <c r="VTH18" s="2" t="s">
        <v>65</v>
      </c>
      <c r="VTI18" t="s">
        <v>14</v>
      </c>
      <c r="VTJ18" s="5">
        <v>43521</v>
      </c>
      <c r="VTK18" s="2" t="s">
        <v>68</v>
      </c>
      <c r="VTL18" s="7"/>
      <c r="VTM18"/>
      <c r="VTN18"/>
      <c r="VTO18" s="10">
        <v>-1.01</v>
      </c>
      <c r="VTP18" s="2" t="s">
        <v>65</v>
      </c>
      <c r="VTQ18" t="s">
        <v>14</v>
      </c>
      <c r="VTR18" s="5">
        <v>43521</v>
      </c>
      <c r="VTS18" s="2" t="s">
        <v>68</v>
      </c>
      <c r="VTT18" s="7"/>
      <c r="VTU18"/>
      <c r="VTV18"/>
      <c r="VTW18" s="10">
        <v>-1.01</v>
      </c>
      <c r="VTX18" s="2" t="s">
        <v>65</v>
      </c>
      <c r="VTY18" t="s">
        <v>14</v>
      </c>
      <c r="VTZ18" s="5">
        <v>43521</v>
      </c>
      <c r="VUA18" s="2" t="s">
        <v>68</v>
      </c>
      <c r="VUB18" s="7"/>
      <c r="VUC18"/>
      <c r="VUD18"/>
      <c r="VUE18" s="10">
        <v>-1.01</v>
      </c>
      <c r="VUF18" s="2" t="s">
        <v>65</v>
      </c>
      <c r="VUG18" t="s">
        <v>14</v>
      </c>
      <c r="VUH18" s="5">
        <v>43521</v>
      </c>
      <c r="VUI18" s="2" t="s">
        <v>68</v>
      </c>
      <c r="VUJ18" s="7"/>
      <c r="VUK18"/>
      <c r="VUL18"/>
      <c r="VUM18" s="10">
        <v>-1.01</v>
      </c>
      <c r="VUN18" s="2" t="s">
        <v>65</v>
      </c>
      <c r="VUO18" t="s">
        <v>14</v>
      </c>
      <c r="VUP18" s="5">
        <v>43521</v>
      </c>
      <c r="VUQ18" s="2" t="s">
        <v>68</v>
      </c>
      <c r="VUR18" s="7"/>
      <c r="VUS18"/>
      <c r="VUT18"/>
      <c r="VUU18" s="10">
        <v>-1.01</v>
      </c>
      <c r="VUV18" s="2" t="s">
        <v>65</v>
      </c>
      <c r="VUW18" t="s">
        <v>14</v>
      </c>
      <c r="VUX18" s="5">
        <v>43521</v>
      </c>
      <c r="VUY18" s="2" t="s">
        <v>68</v>
      </c>
      <c r="VUZ18" s="7"/>
      <c r="VVA18"/>
      <c r="VVB18"/>
      <c r="VVC18" s="10">
        <v>-1.01</v>
      </c>
      <c r="VVD18" s="2" t="s">
        <v>65</v>
      </c>
      <c r="VVE18" t="s">
        <v>14</v>
      </c>
      <c r="VVF18" s="5">
        <v>43521</v>
      </c>
      <c r="VVG18" s="2" t="s">
        <v>68</v>
      </c>
      <c r="VVH18" s="7"/>
      <c r="VVI18"/>
      <c r="VVJ18"/>
      <c r="VVK18" s="10">
        <v>-1.01</v>
      </c>
      <c r="VVL18" s="2" t="s">
        <v>65</v>
      </c>
      <c r="VVM18" t="s">
        <v>14</v>
      </c>
      <c r="VVN18" s="5">
        <v>43521</v>
      </c>
      <c r="VVO18" s="2" t="s">
        <v>68</v>
      </c>
      <c r="VVP18" s="7"/>
      <c r="VVQ18"/>
      <c r="VVR18"/>
      <c r="VVS18" s="10">
        <v>-1.01</v>
      </c>
      <c r="VVT18" s="2" t="s">
        <v>65</v>
      </c>
      <c r="VVU18" t="s">
        <v>14</v>
      </c>
      <c r="VVV18" s="5">
        <v>43521</v>
      </c>
      <c r="VVW18" s="2" t="s">
        <v>68</v>
      </c>
      <c r="VVX18" s="7"/>
      <c r="VVY18"/>
      <c r="VVZ18"/>
      <c r="VWA18" s="10">
        <v>-1.01</v>
      </c>
      <c r="VWB18" s="2" t="s">
        <v>65</v>
      </c>
      <c r="VWC18" t="s">
        <v>14</v>
      </c>
      <c r="VWD18" s="5">
        <v>43521</v>
      </c>
      <c r="VWE18" s="2" t="s">
        <v>68</v>
      </c>
      <c r="VWF18" s="7"/>
      <c r="VWG18"/>
      <c r="VWH18"/>
      <c r="VWI18" s="10">
        <v>-1.01</v>
      </c>
      <c r="VWJ18" s="2" t="s">
        <v>65</v>
      </c>
      <c r="VWK18" t="s">
        <v>14</v>
      </c>
      <c r="VWL18" s="5">
        <v>43521</v>
      </c>
      <c r="VWM18" s="2" t="s">
        <v>68</v>
      </c>
      <c r="VWN18" s="7"/>
      <c r="VWO18"/>
      <c r="VWP18"/>
      <c r="VWQ18" s="10">
        <v>-1.01</v>
      </c>
      <c r="VWR18" s="2" t="s">
        <v>65</v>
      </c>
      <c r="VWS18" t="s">
        <v>14</v>
      </c>
      <c r="VWT18" s="5">
        <v>43521</v>
      </c>
      <c r="VWU18" s="2" t="s">
        <v>68</v>
      </c>
      <c r="VWV18" s="7"/>
      <c r="VWW18"/>
      <c r="VWX18"/>
      <c r="VWY18" s="10">
        <v>-1.01</v>
      </c>
      <c r="VWZ18" s="2" t="s">
        <v>65</v>
      </c>
      <c r="VXA18" t="s">
        <v>14</v>
      </c>
      <c r="VXB18" s="5">
        <v>43521</v>
      </c>
      <c r="VXC18" s="2" t="s">
        <v>68</v>
      </c>
      <c r="VXD18" s="7"/>
      <c r="VXE18"/>
      <c r="VXF18"/>
      <c r="VXG18" s="10">
        <v>-1.01</v>
      </c>
      <c r="VXH18" s="2" t="s">
        <v>65</v>
      </c>
      <c r="VXI18" t="s">
        <v>14</v>
      </c>
      <c r="VXJ18" s="5">
        <v>43521</v>
      </c>
      <c r="VXK18" s="2" t="s">
        <v>68</v>
      </c>
      <c r="VXL18" s="7"/>
      <c r="VXM18"/>
      <c r="VXN18"/>
      <c r="VXO18" s="10">
        <v>-1.01</v>
      </c>
      <c r="VXP18" s="2" t="s">
        <v>65</v>
      </c>
      <c r="VXQ18" t="s">
        <v>14</v>
      </c>
      <c r="VXR18" s="5">
        <v>43521</v>
      </c>
      <c r="VXS18" s="2" t="s">
        <v>68</v>
      </c>
      <c r="VXT18" s="7"/>
      <c r="VXU18"/>
      <c r="VXV18"/>
      <c r="VXW18" s="10">
        <v>-1.01</v>
      </c>
      <c r="VXX18" s="2" t="s">
        <v>65</v>
      </c>
      <c r="VXY18" t="s">
        <v>14</v>
      </c>
      <c r="VXZ18" s="5">
        <v>43521</v>
      </c>
      <c r="VYA18" s="2" t="s">
        <v>68</v>
      </c>
      <c r="VYB18" s="7"/>
      <c r="VYC18"/>
      <c r="VYD18"/>
      <c r="VYE18" s="10">
        <v>-1.01</v>
      </c>
      <c r="VYF18" s="2" t="s">
        <v>65</v>
      </c>
      <c r="VYG18" t="s">
        <v>14</v>
      </c>
      <c r="VYH18" s="5">
        <v>43521</v>
      </c>
      <c r="VYI18" s="2" t="s">
        <v>68</v>
      </c>
      <c r="VYJ18" s="7"/>
      <c r="VYK18"/>
      <c r="VYL18"/>
      <c r="VYM18" s="10">
        <v>-1.01</v>
      </c>
      <c r="VYN18" s="2" t="s">
        <v>65</v>
      </c>
      <c r="VYO18" t="s">
        <v>14</v>
      </c>
      <c r="VYP18" s="5">
        <v>43521</v>
      </c>
      <c r="VYQ18" s="2" t="s">
        <v>68</v>
      </c>
      <c r="VYR18" s="7"/>
      <c r="VYS18"/>
      <c r="VYT18"/>
      <c r="VYU18" s="10">
        <v>-1.01</v>
      </c>
      <c r="VYV18" s="2" t="s">
        <v>65</v>
      </c>
      <c r="VYW18" t="s">
        <v>14</v>
      </c>
      <c r="VYX18" s="5">
        <v>43521</v>
      </c>
      <c r="VYY18" s="2" t="s">
        <v>68</v>
      </c>
      <c r="VYZ18" s="7"/>
      <c r="VZA18"/>
      <c r="VZB18"/>
      <c r="VZC18" s="10">
        <v>-1.01</v>
      </c>
      <c r="VZD18" s="2" t="s">
        <v>65</v>
      </c>
      <c r="VZE18" t="s">
        <v>14</v>
      </c>
      <c r="VZF18" s="5">
        <v>43521</v>
      </c>
      <c r="VZG18" s="2" t="s">
        <v>68</v>
      </c>
      <c r="VZH18" s="7"/>
      <c r="VZI18"/>
      <c r="VZJ18"/>
      <c r="VZK18" s="10">
        <v>-1.01</v>
      </c>
      <c r="VZL18" s="2" t="s">
        <v>65</v>
      </c>
      <c r="VZM18" t="s">
        <v>14</v>
      </c>
      <c r="VZN18" s="5">
        <v>43521</v>
      </c>
      <c r="VZO18" s="2" t="s">
        <v>68</v>
      </c>
      <c r="VZP18" s="7"/>
      <c r="VZQ18"/>
      <c r="VZR18"/>
      <c r="VZS18" s="10">
        <v>-1.01</v>
      </c>
      <c r="VZT18" s="2" t="s">
        <v>65</v>
      </c>
      <c r="VZU18" t="s">
        <v>14</v>
      </c>
      <c r="VZV18" s="5">
        <v>43521</v>
      </c>
      <c r="VZW18" s="2" t="s">
        <v>68</v>
      </c>
      <c r="VZX18" s="7"/>
      <c r="VZY18"/>
      <c r="VZZ18"/>
      <c r="WAA18" s="10">
        <v>-1.01</v>
      </c>
      <c r="WAB18" s="2" t="s">
        <v>65</v>
      </c>
      <c r="WAC18" t="s">
        <v>14</v>
      </c>
      <c r="WAD18" s="5">
        <v>43521</v>
      </c>
      <c r="WAE18" s="2" t="s">
        <v>68</v>
      </c>
      <c r="WAF18" s="7"/>
      <c r="WAG18"/>
      <c r="WAH18"/>
      <c r="WAI18" s="10">
        <v>-1.01</v>
      </c>
      <c r="WAJ18" s="2" t="s">
        <v>65</v>
      </c>
      <c r="WAK18" t="s">
        <v>14</v>
      </c>
      <c r="WAL18" s="5">
        <v>43521</v>
      </c>
      <c r="WAM18" s="2" t="s">
        <v>68</v>
      </c>
      <c r="WAN18" s="7"/>
      <c r="WAO18"/>
      <c r="WAP18"/>
      <c r="WAQ18" s="10">
        <v>-1.01</v>
      </c>
      <c r="WAR18" s="2" t="s">
        <v>65</v>
      </c>
      <c r="WAS18" t="s">
        <v>14</v>
      </c>
      <c r="WAT18" s="5">
        <v>43521</v>
      </c>
      <c r="WAU18" s="2" t="s">
        <v>68</v>
      </c>
      <c r="WAV18" s="7"/>
      <c r="WAW18"/>
      <c r="WAX18"/>
      <c r="WAY18" s="10">
        <v>-1.01</v>
      </c>
      <c r="WAZ18" s="2" t="s">
        <v>65</v>
      </c>
      <c r="WBA18" t="s">
        <v>14</v>
      </c>
      <c r="WBB18" s="5">
        <v>43521</v>
      </c>
      <c r="WBC18" s="2" t="s">
        <v>68</v>
      </c>
      <c r="WBD18" s="7"/>
      <c r="WBE18"/>
      <c r="WBF18"/>
      <c r="WBG18" s="10">
        <v>-1.01</v>
      </c>
      <c r="WBH18" s="2" t="s">
        <v>65</v>
      </c>
      <c r="WBI18" t="s">
        <v>14</v>
      </c>
      <c r="WBJ18" s="5">
        <v>43521</v>
      </c>
      <c r="WBK18" s="2" t="s">
        <v>68</v>
      </c>
      <c r="WBL18" s="7"/>
      <c r="WBM18"/>
      <c r="WBN18"/>
      <c r="WBO18" s="10">
        <v>-1.01</v>
      </c>
      <c r="WBP18" s="2" t="s">
        <v>65</v>
      </c>
      <c r="WBQ18" t="s">
        <v>14</v>
      </c>
      <c r="WBR18" s="5">
        <v>43521</v>
      </c>
      <c r="WBS18" s="2" t="s">
        <v>68</v>
      </c>
      <c r="WBT18" s="7"/>
      <c r="WBU18"/>
      <c r="WBV18"/>
      <c r="WBW18" s="10">
        <v>-1.01</v>
      </c>
      <c r="WBX18" s="2" t="s">
        <v>65</v>
      </c>
      <c r="WBY18" t="s">
        <v>14</v>
      </c>
      <c r="WBZ18" s="5">
        <v>43521</v>
      </c>
      <c r="WCA18" s="2" t="s">
        <v>68</v>
      </c>
      <c r="WCB18" s="7"/>
      <c r="WCC18"/>
      <c r="WCD18"/>
      <c r="WCE18" s="10">
        <v>-1.01</v>
      </c>
      <c r="WCF18" s="2" t="s">
        <v>65</v>
      </c>
      <c r="WCG18" t="s">
        <v>14</v>
      </c>
      <c r="WCH18" s="5">
        <v>43521</v>
      </c>
      <c r="WCI18" s="2" t="s">
        <v>68</v>
      </c>
      <c r="WCJ18" s="7"/>
      <c r="WCK18"/>
      <c r="WCL18"/>
      <c r="WCM18" s="10">
        <v>-1.01</v>
      </c>
      <c r="WCN18" s="2" t="s">
        <v>65</v>
      </c>
      <c r="WCO18" t="s">
        <v>14</v>
      </c>
      <c r="WCP18" s="5">
        <v>43521</v>
      </c>
      <c r="WCQ18" s="2" t="s">
        <v>68</v>
      </c>
      <c r="WCR18" s="7"/>
      <c r="WCS18"/>
      <c r="WCT18"/>
      <c r="WCU18" s="10">
        <v>-1.01</v>
      </c>
      <c r="WCV18" s="2" t="s">
        <v>65</v>
      </c>
      <c r="WCW18" t="s">
        <v>14</v>
      </c>
      <c r="WCX18" s="5">
        <v>43521</v>
      </c>
      <c r="WCY18" s="2" t="s">
        <v>68</v>
      </c>
      <c r="WCZ18" s="7"/>
      <c r="WDA18"/>
      <c r="WDB18"/>
      <c r="WDC18" s="10">
        <v>-1.01</v>
      </c>
      <c r="WDD18" s="2" t="s">
        <v>65</v>
      </c>
      <c r="WDE18" t="s">
        <v>14</v>
      </c>
      <c r="WDF18" s="5">
        <v>43521</v>
      </c>
      <c r="WDG18" s="2" t="s">
        <v>68</v>
      </c>
      <c r="WDH18" s="7"/>
      <c r="WDI18"/>
      <c r="WDJ18"/>
      <c r="WDK18" s="10">
        <v>-1.01</v>
      </c>
      <c r="WDL18" s="2" t="s">
        <v>65</v>
      </c>
      <c r="WDM18" t="s">
        <v>14</v>
      </c>
      <c r="WDN18" s="5">
        <v>43521</v>
      </c>
      <c r="WDO18" s="2" t="s">
        <v>68</v>
      </c>
      <c r="WDP18" s="7"/>
      <c r="WDQ18"/>
      <c r="WDR18"/>
      <c r="WDS18" s="10">
        <v>-1.01</v>
      </c>
      <c r="WDT18" s="2" t="s">
        <v>65</v>
      </c>
      <c r="WDU18" t="s">
        <v>14</v>
      </c>
      <c r="WDV18" s="5">
        <v>43521</v>
      </c>
      <c r="WDW18" s="2" t="s">
        <v>68</v>
      </c>
      <c r="WDX18" s="7"/>
      <c r="WDY18"/>
      <c r="WDZ18"/>
      <c r="WEA18" s="10">
        <v>-1.01</v>
      </c>
      <c r="WEB18" s="2" t="s">
        <v>65</v>
      </c>
      <c r="WEC18" t="s">
        <v>14</v>
      </c>
      <c r="WED18" s="5">
        <v>43521</v>
      </c>
      <c r="WEE18" s="2" t="s">
        <v>68</v>
      </c>
      <c r="WEF18" s="7"/>
      <c r="WEG18"/>
      <c r="WEH18"/>
      <c r="WEI18" s="10">
        <v>-1.01</v>
      </c>
      <c r="WEJ18" s="2" t="s">
        <v>65</v>
      </c>
      <c r="WEK18" t="s">
        <v>14</v>
      </c>
      <c r="WEL18" s="5">
        <v>43521</v>
      </c>
      <c r="WEM18" s="2" t="s">
        <v>68</v>
      </c>
      <c r="WEN18" s="7"/>
      <c r="WEO18"/>
      <c r="WEP18"/>
      <c r="WEQ18" s="10">
        <v>-1.01</v>
      </c>
      <c r="WER18" s="2" t="s">
        <v>65</v>
      </c>
      <c r="WES18" t="s">
        <v>14</v>
      </c>
      <c r="WET18" s="5">
        <v>43521</v>
      </c>
      <c r="WEU18" s="2" t="s">
        <v>68</v>
      </c>
      <c r="WEV18" s="7"/>
      <c r="WEW18"/>
      <c r="WEX18"/>
      <c r="WEY18" s="10">
        <v>-1.01</v>
      </c>
      <c r="WEZ18" s="2" t="s">
        <v>65</v>
      </c>
      <c r="WFA18" t="s">
        <v>14</v>
      </c>
      <c r="WFB18" s="5">
        <v>43521</v>
      </c>
      <c r="WFC18" s="2" t="s">
        <v>68</v>
      </c>
      <c r="WFD18" s="7"/>
      <c r="WFE18"/>
      <c r="WFF18"/>
      <c r="WFG18" s="10">
        <v>-1.01</v>
      </c>
      <c r="WFH18" s="2" t="s">
        <v>65</v>
      </c>
      <c r="WFI18" t="s">
        <v>14</v>
      </c>
      <c r="WFJ18" s="5">
        <v>43521</v>
      </c>
      <c r="WFK18" s="2" t="s">
        <v>68</v>
      </c>
      <c r="WFL18" s="7"/>
      <c r="WFM18"/>
      <c r="WFN18"/>
      <c r="WFO18" s="10">
        <v>-1.01</v>
      </c>
      <c r="WFP18" s="2" t="s">
        <v>65</v>
      </c>
      <c r="WFQ18" t="s">
        <v>14</v>
      </c>
      <c r="WFR18" s="5">
        <v>43521</v>
      </c>
      <c r="WFS18" s="2" t="s">
        <v>68</v>
      </c>
      <c r="WFT18" s="7"/>
      <c r="WFU18"/>
      <c r="WFV18"/>
      <c r="WFW18" s="10">
        <v>-1.01</v>
      </c>
      <c r="WFX18" s="2" t="s">
        <v>65</v>
      </c>
      <c r="WFY18" t="s">
        <v>14</v>
      </c>
      <c r="WFZ18" s="5">
        <v>43521</v>
      </c>
      <c r="WGA18" s="2" t="s">
        <v>68</v>
      </c>
      <c r="WGB18" s="7"/>
      <c r="WGC18"/>
      <c r="WGD18"/>
      <c r="WGE18" s="10">
        <v>-1.01</v>
      </c>
      <c r="WGF18" s="2" t="s">
        <v>65</v>
      </c>
      <c r="WGG18" t="s">
        <v>14</v>
      </c>
      <c r="WGH18" s="5">
        <v>43521</v>
      </c>
      <c r="WGI18" s="2" t="s">
        <v>68</v>
      </c>
      <c r="WGJ18" s="7"/>
      <c r="WGK18"/>
      <c r="WGL18"/>
      <c r="WGM18" s="10">
        <v>-1.01</v>
      </c>
      <c r="WGN18" s="2" t="s">
        <v>65</v>
      </c>
      <c r="WGO18" t="s">
        <v>14</v>
      </c>
      <c r="WGP18" s="5">
        <v>43521</v>
      </c>
      <c r="WGQ18" s="2" t="s">
        <v>68</v>
      </c>
      <c r="WGR18" s="7"/>
      <c r="WGS18"/>
      <c r="WGT18"/>
      <c r="WGU18" s="10">
        <v>-1.01</v>
      </c>
      <c r="WGV18" s="2" t="s">
        <v>65</v>
      </c>
      <c r="WGW18" t="s">
        <v>14</v>
      </c>
      <c r="WGX18" s="5">
        <v>43521</v>
      </c>
      <c r="WGY18" s="2" t="s">
        <v>68</v>
      </c>
      <c r="WGZ18" s="7"/>
      <c r="WHA18"/>
      <c r="WHB18"/>
      <c r="WHC18" s="10">
        <v>-1.01</v>
      </c>
      <c r="WHD18" s="2" t="s">
        <v>65</v>
      </c>
      <c r="WHE18" t="s">
        <v>14</v>
      </c>
      <c r="WHF18" s="5">
        <v>43521</v>
      </c>
      <c r="WHG18" s="2" t="s">
        <v>68</v>
      </c>
      <c r="WHH18" s="7"/>
      <c r="WHI18"/>
      <c r="WHJ18"/>
      <c r="WHK18" s="10">
        <v>-1.01</v>
      </c>
      <c r="WHL18" s="2" t="s">
        <v>65</v>
      </c>
      <c r="WHM18" t="s">
        <v>14</v>
      </c>
      <c r="WHN18" s="5">
        <v>43521</v>
      </c>
      <c r="WHO18" s="2" t="s">
        <v>68</v>
      </c>
      <c r="WHP18" s="7"/>
      <c r="WHQ18"/>
      <c r="WHR18"/>
      <c r="WHS18" s="10">
        <v>-1.01</v>
      </c>
      <c r="WHT18" s="2" t="s">
        <v>65</v>
      </c>
      <c r="WHU18" t="s">
        <v>14</v>
      </c>
      <c r="WHV18" s="5">
        <v>43521</v>
      </c>
      <c r="WHW18" s="2" t="s">
        <v>68</v>
      </c>
      <c r="WHX18" s="7"/>
      <c r="WHY18"/>
      <c r="WHZ18"/>
      <c r="WIA18" s="10">
        <v>-1.01</v>
      </c>
      <c r="WIB18" s="2" t="s">
        <v>65</v>
      </c>
      <c r="WIC18" t="s">
        <v>14</v>
      </c>
      <c r="WID18" s="5">
        <v>43521</v>
      </c>
      <c r="WIE18" s="2" t="s">
        <v>68</v>
      </c>
      <c r="WIF18" s="7"/>
      <c r="WIG18"/>
      <c r="WIH18"/>
      <c r="WII18" s="10">
        <v>-1.01</v>
      </c>
      <c r="WIJ18" s="2" t="s">
        <v>65</v>
      </c>
      <c r="WIK18" t="s">
        <v>14</v>
      </c>
      <c r="WIL18" s="5">
        <v>43521</v>
      </c>
      <c r="WIM18" s="2" t="s">
        <v>68</v>
      </c>
      <c r="WIN18" s="7"/>
      <c r="WIO18"/>
      <c r="WIP18"/>
      <c r="WIQ18" s="10">
        <v>-1.01</v>
      </c>
      <c r="WIR18" s="2" t="s">
        <v>65</v>
      </c>
      <c r="WIS18" t="s">
        <v>14</v>
      </c>
      <c r="WIT18" s="5">
        <v>43521</v>
      </c>
      <c r="WIU18" s="2" t="s">
        <v>68</v>
      </c>
      <c r="WIV18" s="7"/>
      <c r="WIW18"/>
      <c r="WIX18"/>
      <c r="WIY18" s="10">
        <v>-1.01</v>
      </c>
      <c r="WIZ18" s="2" t="s">
        <v>65</v>
      </c>
      <c r="WJA18" t="s">
        <v>14</v>
      </c>
      <c r="WJB18" s="5">
        <v>43521</v>
      </c>
      <c r="WJC18" s="2" t="s">
        <v>68</v>
      </c>
      <c r="WJD18" s="7"/>
      <c r="WJE18"/>
      <c r="WJF18"/>
      <c r="WJG18" s="10">
        <v>-1.01</v>
      </c>
      <c r="WJH18" s="2" t="s">
        <v>65</v>
      </c>
      <c r="WJI18" t="s">
        <v>14</v>
      </c>
      <c r="WJJ18" s="5">
        <v>43521</v>
      </c>
      <c r="WJK18" s="2" t="s">
        <v>68</v>
      </c>
      <c r="WJL18" s="7"/>
      <c r="WJM18"/>
      <c r="WJN18"/>
      <c r="WJO18" s="10">
        <v>-1.01</v>
      </c>
      <c r="WJP18" s="2" t="s">
        <v>65</v>
      </c>
      <c r="WJQ18" t="s">
        <v>14</v>
      </c>
      <c r="WJR18" s="5">
        <v>43521</v>
      </c>
      <c r="WJS18" s="2" t="s">
        <v>68</v>
      </c>
      <c r="WJT18" s="7"/>
      <c r="WJU18"/>
      <c r="WJV18"/>
      <c r="WJW18" s="10">
        <v>-1.01</v>
      </c>
      <c r="WJX18" s="2" t="s">
        <v>65</v>
      </c>
      <c r="WJY18" t="s">
        <v>14</v>
      </c>
      <c r="WJZ18" s="5">
        <v>43521</v>
      </c>
      <c r="WKA18" s="2" t="s">
        <v>68</v>
      </c>
      <c r="WKB18" s="7"/>
      <c r="WKC18"/>
      <c r="WKD18"/>
      <c r="WKE18" s="10">
        <v>-1.01</v>
      </c>
      <c r="WKF18" s="2" t="s">
        <v>65</v>
      </c>
      <c r="WKG18" t="s">
        <v>14</v>
      </c>
      <c r="WKH18" s="5">
        <v>43521</v>
      </c>
      <c r="WKI18" s="2" t="s">
        <v>68</v>
      </c>
      <c r="WKJ18" s="7"/>
      <c r="WKK18"/>
      <c r="WKL18"/>
      <c r="WKM18" s="10">
        <v>-1.01</v>
      </c>
      <c r="WKN18" s="2" t="s">
        <v>65</v>
      </c>
      <c r="WKO18" t="s">
        <v>14</v>
      </c>
      <c r="WKP18" s="5">
        <v>43521</v>
      </c>
      <c r="WKQ18" s="2" t="s">
        <v>68</v>
      </c>
      <c r="WKR18" s="7"/>
      <c r="WKS18"/>
      <c r="WKT18"/>
      <c r="WKU18" s="10">
        <v>-1.01</v>
      </c>
      <c r="WKV18" s="2" t="s">
        <v>65</v>
      </c>
      <c r="WKW18" t="s">
        <v>14</v>
      </c>
      <c r="WKX18" s="5">
        <v>43521</v>
      </c>
      <c r="WKY18" s="2" t="s">
        <v>68</v>
      </c>
      <c r="WKZ18" s="7"/>
      <c r="WLA18"/>
      <c r="WLB18"/>
      <c r="WLC18" s="10">
        <v>-1.01</v>
      </c>
      <c r="WLD18" s="2" t="s">
        <v>65</v>
      </c>
      <c r="WLE18" t="s">
        <v>14</v>
      </c>
      <c r="WLF18" s="5">
        <v>43521</v>
      </c>
      <c r="WLG18" s="2" t="s">
        <v>68</v>
      </c>
      <c r="WLH18" s="7"/>
      <c r="WLI18"/>
      <c r="WLJ18"/>
      <c r="WLK18" s="10">
        <v>-1.01</v>
      </c>
      <c r="WLL18" s="2" t="s">
        <v>65</v>
      </c>
      <c r="WLM18" t="s">
        <v>14</v>
      </c>
      <c r="WLN18" s="5">
        <v>43521</v>
      </c>
      <c r="WLO18" s="2" t="s">
        <v>68</v>
      </c>
      <c r="WLP18" s="7"/>
      <c r="WLQ18"/>
      <c r="WLR18"/>
      <c r="WLS18" s="10">
        <v>-1.01</v>
      </c>
      <c r="WLT18" s="2" t="s">
        <v>65</v>
      </c>
      <c r="WLU18" t="s">
        <v>14</v>
      </c>
      <c r="WLV18" s="5">
        <v>43521</v>
      </c>
      <c r="WLW18" s="2" t="s">
        <v>68</v>
      </c>
      <c r="WLX18" s="7"/>
      <c r="WLY18"/>
      <c r="WLZ18"/>
      <c r="WMA18" s="10">
        <v>-1.01</v>
      </c>
      <c r="WMB18" s="2" t="s">
        <v>65</v>
      </c>
      <c r="WMC18" t="s">
        <v>14</v>
      </c>
      <c r="WMD18" s="5">
        <v>43521</v>
      </c>
      <c r="WME18" s="2" t="s">
        <v>68</v>
      </c>
      <c r="WMF18" s="7"/>
      <c r="WMG18"/>
      <c r="WMH18"/>
      <c r="WMI18" s="10">
        <v>-1.01</v>
      </c>
      <c r="WMJ18" s="2" t="s">
        <v>65</v>
      </c>
      <c r="WMK18" t="s">
        <v>14</v>
      </c>
      <c r="WML18" s="5">
        <v>43521</v>
      </c>
      <c r="WMM18" s="2" t="s">
        <v>68</v>
      </c>
      <c r="WMN18" s="7"/>
      <c r="WMO18"/>
      <c r="WMP18"/>
      <c r="WMQ18" s="10">
        <v>-1.01</v>
      </c>
      <c r="WMR18" s="2" t="s">
        <v>65</v>
      </c>
      <c r="WMS18" t="s">
        <v>14</v>
      </c>
      <c r="WMT18" s="5">
        <v>43521</v>
      </c>
      <c r="WMU18" s="2" t="s">
        <v>68</v>
      </c>
      <c r="WMV18" s="7"/>
      <c r="WMW18"/>
      <c r="WMX18"/>
      <c r="WMY18" s="10">
        <v>-1.01</v>
      </c>
      <c r="WMZ18" s="2" t="s">
        <v>65</v>
      </c>
      <c r="WNA18" t="s">
        <v>14</v>
      </c>
      <c r="WNB18" s="5">
        <v>43521</v>
      </c>
      <c r="WNC18" s="2" t="s">
        <v>68</v>
      </c>
      <c r="WND18" s="7"/>
      <c r="WNE18"/>
      <c r="WNF18"/>
      <c r="WNG18" s="10">
        <v>-1.01</v>
      </c>
      <c r="WNH18" s="2" t="s">
        <v>65</v>
      </c>
      <c r="WNI18" t="s">
        <v>14</v>
      </c>
      <c r="WNJ18" s="5">
        <v>43521</v>
      </c>
      <c r="WNK18" s="2" t="s">
        <v>68</v>
      </c>
      <c r="WNL18" s="7"/>
      <c r="WNM18"/>
      <c r="WNN18"/>
      <c r="WNO18" s="10">
        <v>-1.01</v>
      </c>
      <c r="WNP18" s="2" t="s">
        <v>65</v>
      </c>
      <c r="WNQ18" t="s">
        <v>14</v>
      </c>
      <c r="WNR18" s="5">
        <v>43521</v>
      </c>
      <c r="WNS18" s="2" t="s">
        <v>68</v>
      </c>
      <c r="WNT18" s="7"/>
      <c r="WNU18"/>
      <c r="WNV18"/>
      <c r="WNW18" s="10">
        <v>-1.01</v>
      </c>
      <c r="WNX18" s="2" t="s">
        <v>65</v>
      </c>
      <c r="WNY18" t="s">
        <v>14</v>
      </c>
      <c r="WNZ18" s="5">
        <v>43521</v>
      </c>
      <c r="WOA18" s="2" t="s">
        <v>68</v>
      </c>
      <c r="WOB18" s="7"/>
      <c r="WOC18"/>
      <c r="WOD18"/>
      <c r="WOE18" s="10">
        <v>-1.01</v>
      </c>
      <c r="WOF18" s="2" t="s">
        <v>65</v>
      </c>
      <c r="WOG18" t="s">
        <v>14</v>
      </c>
      <c r="WOH18" s="5">
        <v>43521</v>
      </c>
      <c r="WOI18" s="2" t="s">
        <v>68</v>
      </c>
      <c r="WOJ18" s="7"/>
      <c r="WOK18"/>
      <c r="WOL18"/>
      <c r="WOM18" s="10">
        <v>-1.01</v>
      </c>
      <c r="WON18" s="2" t="s">
        <v>65</v>
      </c>
      <c r="WOO18" t="s">
        <v>14</v>
      </c>
      <c r="WOP18" s="5">
        <v>43521</v>
      </c>
      <c r="WOQ18" s="2" t="s">
        <v>68</v>
      </c>
      <c r="WOR18" s="7"/>
      <c r="WOS18"/>
      <c r="WOT18"/>
      <c r="WOU18" s="10">
        <v>-1.01</v>
      </c>
      <c r="WOV18" s="2" t="s">
        <v>65</v>
      </c>
      <c r="WOW18" t="s">
        <v>14</v>
      </c>
      <c r="WOX18" s="5">
        <v>43521</v>
      </c>
      <c r="WOY18" s="2" t="s">
        <v>68</v>
      </c>
      <c r="WOZ18" s="7"/>
      <c r="WPA18"/>
      <c r="WPB18"/>
      <c r="WPC18" s="10">
        <v>-1.01</v>
      </c>
      <c r="WPD18" s="2" t="s">
        <v>65</v>
      </c>
      <c r="WPE18" t="s">
        <v>14</v>
      </c>
      <c r="WPF18" s="5">
        <v>43521</v>
      </c>
      <c r="WPG18" s="2" t="s">
        <v>68</v>
      </c>
      <c r="WPH18" s="7"/>
      <c r="WPI18"/>
      <c r="WPJ18"/>
      <c r="WPK18" s="10">
        <v>-1.01</v>
      </c>
      <c r="WPL18" s="2" t="s">
        <v>65</v>
      </c>
      <c r="WPM18" t="s">
        <v>14</v>
      </c>
      <c r="WPN18" s="5">
        <v>43521</v>
      </c>
      <c r="WPO18" s="2" t="s">
        <v>68</v>
      </c>
      <c r="WPP18" s="7"/>
      <c r="WPQ18"/>
      <c r="WPR18"/>
      <c r="WPS18" s="10">
        <v>-1.01</v>
      </c>
      <c r="WPT18" s="2" t="s">
        <v>65</v>
      </c>
      <c r="WPU18" t="s">
        <v>14</v>
      </c>
      <c r="WPV18" s="5">
        <v>43521</v>
      </c>
      <c r="WPW18" s="2" t="s">
        <v>68</v>
      </c>
      <c r="WPX18" s="7"/>
      <c r="WPY18"/>
      <c r="WPZ18"/>
      <c r="WQA18" s="10">
        <v>-1.01</v>
      </c>
      <c r="WQB18" s="2" t="s">
        <v>65</v>
      </c>
      <c r="WQC18" t="s">
        <v>14</v>
      </c>
      <c r="WQD18" s="5">
        <v>43521</v>
      </c>
      <c r="WQE18" s="2" t="s">
        <v>68</v>
      </c>
      <c r="WQF18" s="7"/>
      <c r="WQG18"/>
      <c r="WQH18"/>
      <c r="WQI18" s="10">
        <v>-1.01</v>
      </c>
      <c r="WQJ18" s="2" t="s">
        <v>65</v>
      </c>
      <c r="WQK18" t="s">
        <v>14</v>
      </c>
      <c r="WQL18" s="5">
        <v>43521</v>
      </c>
      <c r="WQM18" s="2" t="s">
        <v>68</v>
      </c>
      <c r="WQN18" s="7"/>
      <c r="WQO18"/>
      <c r="WQP18"/>
      <c r="WQQ18" s="10">
        <v>-1.01</v>
      </c>
      <c r="WQR18" s="2" t="s">
        <v>65</v>
      </c>
      <c r="WQS18" t="s">
        <v>14</v>
      </c>
      <c r="WQT18" s="5">
        <v>43521</v>
      </c>
      <c r="WQU18" s="2" t="s">
        <v>68</v>
      </c>
      <c r="WQV18" s="7"/>
      <c r="WQW18"/>
      <c r="WQX18"/>
      <c r="WQY18" s="10">
        <v>-1.01</v>
      </c>
      <c r="WQZ18" s="2" t="s">
        <v>65</v>
      </c>
      <c r="WRA18" t="s">
        <v>14</v>
      </c>
      <c r="WRB18" s="5">
        <v>43521</v>
      </c>
      <c r="WRC18" s="2" t="s">
        <v>68</v>
      </c>
      <c r="WRD18" s="7"/>
      <c r="WRE18"/>
      <c r="WRF18"/>
      <c r="WRG18" s="10">
        <v>-1.01</v>
      </c>
      <c r="WRH18" s="2" t="s">
        <v>65</v>
      </c>
      <c r="WRI18" t="s">
        <v>14</v>
      </c>
      <c r="WRJ18" s="5">
        <v>43521</v>
      </c>
      <c r="WRK18" s="2" t="s">
        <v>68</v>
      </c>
      <c r="WRL18" s="7"/>
      <c r="WRM18"/>
      <c r="WRN18"/>
      <c r="WRO18" s="10">
        <v>-1.01</v>
      </c>
      <c r="WRP18" s="2" t="s">
        <v>65</v>
      </c>
      <c r="WRQ18" t="s">
        <v>14</v>
      </c>
      <c r="WRR18" s="5">
        <v>43521</v>
      </c>
      <c r="WRS18" s="2" t="s">
        <v>68</v>
      </c>
      <c r="WRT18" s="7"/>
      <c r="WRU18"/>
      <c r="WRV18"/>
      <c r="WRW18" s="10">
        <v>-1.01</v>
      </c>
      <c r="WRX18" s="2" t="s">
        <v>65</v>
      </c>
      <c r="WRY18" t="s">
        <v>14</v>
      </c>
      <c r="WRZ18" s="5">
        <v>43521</v>
      </c>
      <c r="WSA18" s="2" t="s">
        <v>68</v>
      </c>
      <c r="WSB18" s="7"/>
      <c r="WSC18"/>
      <c r="WSD18"/>
      <c r="WSE18" s="10">
        <v>-1.01</v>
      </c>
      <c r="WSF18" s="2" t="s">
        <v>65</v>
      </c>
      <c r="WSG18" t="s">
        <v>14</v>
      </c>
      <c r="WSH18" s="5">
        <v>43521</v>
      </c>
      <c r="WSI18" s="2" t="s">
        <v>68</v>
      </c>
      <c r="WSJ18" s="7"/>
      <c r="WSK18"/>
      <c r="WSL18"/>
      <c r="WSM18" s="10">
        <v>-1.01</v>
      </c>
      <c r="WSN18" s="2" t="s">
        <v>65</v>
      </c>
      <c r="WSO18" t="s">
        <v>14</v>
      </c>
      <c r="WSP18" s="5">
        <v>43521</v>
      </c>
      <c r="WSQ18" s="2" t="s">
        <v>68</v>
      </c>
      <c r="WSR18" s="7"/>
      <c r="WSS18"/>
      <c r="WST18"/>
      <c r="WSU18" s="10">
        <v>-1.01</v>
      </c>
      <c r="WSV18" s="2" t="s">
        <v>65</v>
      </c>
      <c r="WSW18" t="s">
        <v>14</v>
      </c>
      <c r="WSX18" s="5">
        <v>43521</v>
      </c>
      <c r="WSY18" s="2" t="s">
        <v>68</v>
      </c>
      <c r="WSZ18" s="7"/>
      <c r="WTA18"/>
      <c r="WTB18"/>
      <c r="WTC18" s="10">
        <v>-1.01</v>
      </c>
      <c r="WTD18" s="2" t="s">
        <v>65</v>
      </c>
      <c r="WTE18" t="s">
        <v>14</v>
      </c>
      <c r="WTF18" s="5">
        <v>43521</v>
      </c>
      <c r="WTG18" s="2" t="s">
        <v>68</v>
      </c>
      <c r="WTH18" s="7"/>
      <c r="WTI18"/>
      <c r="WTJ18"/>
      <c r="WTK18" s="10">
        <v>-1.01</v>
      </c>
      <c r="WTL18" s="2" t="s">
        <v>65</v>
      </c>
      <c r="WTM18" t="s">
        <v>14</v>
      </c>
      <c r="WTN18" s="5">
        <v>43521</v>
      </c>
      <c r="WTO18" s="2" t="s">
        <v>68</v>
      </c>
      <c r="WTP18" s="7"/>
      <c r="WTQ18"/>
      <c r="WTR18"/>
      <c r="WTS18" s="10">
        <v>-1.01</v>
      </c>
      <c r="WTT18" s="2" t="s">
        <v>65</v>
      </c>
      <c r="WTU18" t="s">
        <v>14</v>
      </c>
      <c r="WTV18" s="5">
        <v>43521</v>
      </c>
      <c r="WTW18" s="2" t="s">
        <v>68</v>
      </c>
      <c r="WTX18" s="7"/>
      <c r="WTY18"/>
      <c r="WTZ18"/>
      <c r="WUA18" s="10">
        <v>-1.01</v>
      </c>
      <c r="WUB18" s="2" t="s">
        <v>65</v>
      </c>
      <c r="WUC18" t="s">
        <v>14</v>
      </c>
      <c r="WUD18" s="5">
        <v>43521</v>
      </c>
      <c r="WUE18" s="2" t="s">
        <v>68</v>
      </c>
      <c r="WUF18" s="7"/>
      <c r="WUG18"/>
      <c r="WUH18"/>
      <c r="WUI18" s="10">
        <v>-1.01</v>
      </c>
      <c r="WUJ18" s="2" t="s">
        <v>65</v>
      </c>
      <c r="WUK18" t="s">
        <v>14</v>
      </c>
      <c r="WUL18" s="5">
        <v>43521</v>
      </c>
      <c r="WUM18" s="2" t="s">
        <v>68</v>
      </c>
      <c r="WUN18" s="7"/>
      <c r="WUO18"/>
      <c r="WUP18"/>
      <c r="WUQ18" s="10">
        <v>-1.01</v>
      </c>
      <c r="WUR18" s="2" t="s">
        <v>65</v>
      </c>
      <c r="WUS18" t="s">
        <v>14</v>
      </c>
      <c r="WUT18" s="5">
        <v>43521</v>
      </c>
      <c r="WUU18" s="2" t="s">
        <v>68</v>
      </c>
      <c r="WUV18" s="7"/>
      <c r="WUW18"/>
      <c r="WUX18"/>
      <c r="WUY18" s="10">
        <v>-1.01</v>
      </c>
      <c r="WUZ18" s="2" t="s">
        <v>65</v>
      </c>
      <c r="WVA18" t="s">
        <v>14</v>
      </c>
      <c r="WVB18" s="5">
        <v>43521</v>
      </c>
      <c r="WVC18" s="2" t="s">
        <v>68</v>
      </c>
      <c r="WVD18" s="7"/>
      <c r="WVE18"/>
      <c r="WVF18"/>
      <c r="WVG18" s="10">
        <v>-1.01</v>
      </c>
      <c r="WVH18" s="2" t="s">
        <v>65</v>
      </c>
      <c r="WVI18" t="s">
        <v>14</v>
      </c>
      <c r="WVJ18" s="5">
        <v>43521</v>
      </c>
      <c r="WVK18" s="2" t="s">
        <v>68</v>
      </c>
      <c r="WVL18" s="7"/>
      <c r="WVM18"/>
      <c r="WVN18"/>
      <c r="WVO18" s="10">
        <v>-1.01</v>
      </c>
      <c r="WVP18" s="2" t="s">
        <v>65</v>
      </c>
      <c r="WVQ18" t="s">
        <v>14</v>
      </c>
      <c r="WVR18" s="5">
        <v>43521</v>
      </c>
      <c r="WVS18" s="2" t="s">
        <v>68</v>
      </c>
      <c r="WVT18" s="7"/>
      <c r="WVU18"/>
      <c r="WVV18"/>
      <c r="WVW18" s="10">
        <v>-1.01</v>
      </c>
      <c r="WVX18" s="2" t="s">
        <v>65</v>
      </c>
      <c r="WVY18" t="s">
        <v>14</v>
      </c>
      <c r="WVZ18" s="5">
        <v>43521</v>
      </c>
      <c r="WWA18" s="2" t="s">
        <v>68</v>
      </c>
      <c r="WWB18" s="7"/>
      <c r="WWC18"/>
      <c r="WWD18"/>
      <c r="WWE18" s="10">
        <v>-1.01</v>
      </c>
      <c r="WWF18" s="2" t="s">
        <v>65</v>
      </c>
      <c r="WWG18" t="s">
        <v>14</v>
      </c>
      <c r="WWH18" s="5">
        <v>43521</v>
      </c>
      <c r="WWI18" s="2" t="s">
        <v>68</v>
      </c>
      <c r="WWJ18" s="7"/>
      <c r="WWK18"/>
      <c r="WWL18"/>
      <c r="WWM18" s="10">
        <v>-1.01</v>
      </c>
      <c r="WWN18" s="2" t="s">
        <v>65</v>
      </c>
      <c r="WWO18" t="s">
        <v>14</v>
      </c>
      <c r="WWP18" s="5">
        <v>43521</v>
      </c>
      <c r="WWQ18" s="2" t="s">
        <v>68</v>
      </c>
      <c r="WWR18" s="7"/>
      <c r="WWS18"/>
      <c r="WWT18"/>
      <c r="WWU18" s="10">
        <v>-1.01</v>
      </c>
      <c r="WWV18" s="2" t="s">
        <v>65</v>
      </c>
      <c r="WWW18" t="s">
        <v>14</v>
      </c>
      <c r="WWX18" s="5">
        <v>43521</v>
      </c>
      <c r="WWY18" s="2" t="s">
        <v>68</v>
      </c>
      <c r="WWZ18" s="7"/>
      <c r="WXA18"/>
      <c r="WXB18"/>
      <c r="WXC18" s="10">
        <v>-1.01</v>
      </c>
      <c r="WXD18" s="2" t="s">
        <v>65</v>
      </c>
      <c r="WXE18" t="s">
        <v>14</v>
      </c>
      <c r="WXF18" s="5">
        <v>43521</v>
      </c>
      <c r="WXG18" s="2" t="s">
        <v>68</v>
      </c>
      <c r="WXH18" s="7"/>
      <c r="WXI18"/>
      <c r="WXJ18"/>
      <c r="WXK18" s="10">
        <v>-1.01</v>
      </c>
      <c r="WXL18" s="2" t="s">
        <v>65</v>
      </c>
      <c r="WXM18" t="s">
        <v>14</v>
      </c>
      <c r="WXN18" s="5">
        <v>43521</v>
      </c>
      <c r="WXO18" s="2" t="s">
        <v>68</v>
      </c>
      <c r="WXP18" s="7"/>
      <c r="WXQ18"/>
      <c r="WXR18"/>
      <c r="WXS18" s="10">
        <v>-1.01</v>
      </c>
      <c r="WXT18" s="2" t="s">
        <v>65</v>
      </c>
      <c r="WXU18" t="s">
        <v>14</v>
      </c>
      <c r="WXV18" s="5">
        <v>43521</v>
      </c>
      <c r="WXW18" s="2" t="s">
        <v>68</v>
      </c>
      <c r="WXX18" s="7"/>
      <c r="WXY18"/>
      <c r="WXZ18"/>
      <c r="WYA18" s="10">
        <v>-1.01</v>
      </c>
      <c r="WYB18" s="2" t="s">
        <v>65</v>
      </c>
      <c r="WYC18" t="s">
        <v>14</v>
      </c>
      <c r="WYD18" s="5">
        <v>43521</v>
      </c>
      <c r="WYE18" s="2" t="s">
        <v>68</v>
      </c>
      <c r="WYF18" s="7"/>
      <c r="WYG18"/>
      <c r="WYH18"/>
      <c r="WYI18" s="10">
        <v>-1.01</v>
      </c>
      <c r="WYJ18" s="2" t="s">
        <v>65</v>
      </c>
      <c r="WYK18" t="s">
        <v>14</v>
      </c>
      <c r="WYL18" s="5">
        <v>43521</v>
      </c>
      <c r="WYM18" s="2" t="s">
        <v>68</v>
      </c>
      <c r="WYN18" s="7"/>
      <c r="WYO18"/>
      <c r="WYP18"/>
      <c r="WYQ18" s="10">
        <v>-1.01</v>
      </c>
      <c r="WYR18" s="2" t="s">
        <v>65</v>
      </c>
      <c r="WYS18" t="s">
        <v>14</v>
      </c>
      <c r="WYT18" s="5">
        <v>43521</v>
      </c>
      <c r="WYU18" s="2" t="s">
        <v>68</v>
      </c>
      <c r="WYV18" s="7"/>
      <c r="WYW18"/>
      <c r="WYX18"/>
      <c r="WYY18" s="10">
        <v>-1.01</v>
      </c>
      <c r="WYZ18" s="2" t="s">
        <v>65</v>
      </c>
      <c r="WZA18" t="s">
        <v>14</v>
      </c>
      <c r="WZB18" s="5">
        <v>43521</v>
      </c>
      <c r="WZC18" s="2" t="s">
        <v>68</v>
      </c>
      <c r="WZD18" s="7"/>
      <c r="WZE18"/>
      <c r="WZF18"/>
      <c r="WZG18" s="10">
        <v>-1.01</v>
      </c>
      <c r="WZH18" s="2" t="s">
        <v>65</v>
      </c>
      <c r="WZI18" t="s">
        <v>14</v>
      </c>
      <c r="WZJ18" s="5">
        <v>43521</v>
      </c>
      <c r="WZK18" s="2" t="s">
        <v>68</v>
      </c>
      <c r="WZL18" s="7"/>
      <c r="WZM18"/>
      <c r="WZN18"/>
      <c r="WZO18" s="10">
        <v>-1.01</v>
      </c>
      <c r="WZP18" s="2" t="s">
        <v>65</v>
      </c>
      <c r="WZQ18" t="s">
        <v>14</v>
      </c>
      <c r="WZR18" s="5">
        <v>43521</v>
      </c>
      <c r="WZS18" s="2" t="s">
        <v>68</v>
      </c>
      <c r="WZT18" s="7"/>
      <c r="WZU18"/>
      <c r="WZV18"/>
      <c r="WZW18" s="10">
        <v>-1.01</v>
      </c>
      <c r="WZX18" s="2" t="s">
        <v>65</v>
      </c>
      <c r="WZY18" t="s">
        <v>14</v>
      </c>
      <c r="WZZ18" s="5">
        <v>43521</v>
      </c>
      <c r="XAA18" s="2" t="s">
        <v>68</v>
      </c>
      <c r="XAB18" s="7"/>
      <c r="XAC18"/>
      <c r="XAD18"/>
      <c r="XAE18" s="10">
        <v>-1.01</v>
      </c>
      <c r="XAF18" s="2" t="s">
        <v>65</v>
      </c>
      <c r="XAG18" t="s">
        <v>14</v>
      </c>
      <c r="XAH18" s="5">
        <v>43521</v>
      </c>
      <c r="XAI18" s="2" t="s">
        <v>68</v>
      </c>
      <c r="XAJ18" s="7"/>
      <c r="XAK18"/>
      <c r="XAL18"/>
      <c r="XAM18" s="10">
        <v>-1.01</v>
      </c>
      <c r="XAN18" s="2" t="s">
        <v>65</v>
      </c>
      <c r="XAO18" t="s">
        <v>14</v>
      </c>
      <c r="XAP18" s="5">
        <v>43521</v>
      </c>
      <c r="XAQ18" s="2" t="s">
        <v>68</v>
      </c>
      <c r="XAR18" s="7"/>
      <c r="XAS18"/>
      <c r="XAT18"/>
      <c r="XAU18" s="10">
        <v>-1.01</v>
      </c>
      <c r="XAV18" s="2" t="s">
        <v>65</v>
      </c>
      <c r="XAW18" t="s">
        <v>14</v>
      </c>
      <c r="XAX18" s="5">
        <v>43521</v>
      </c>
      <c r="XAY18" s="2" t="s">
        <v>68</v>
      </c>
      <c r="XAZ18" s="7"/>
      <c r="XBA18"/>
      <c r="XBB18"/>
      <c r="XBC18" s="10">
        <v>-1.01</v>
      </c>
      <c r="XBD18" s="2" t="s">
        <v>65</v>
      </c>
      <c r="XBE18" t="s">
        <v>14</v>
      </c>
      <c r="XBF18" s="5">
        <v>43521</v>
      </c>
      <c r="XBG18" s="2" t="s">
        <v>68</v>
      </c>
      <c r="XBH18" s="7"/>
      <c r="XBI18"/>
      <c r="XBJ18"/>
      <c r="XBK18" s="10">
        <v>-1.01</v>
      </c>
      <c r="XBL18" s="2" t="s">
        <v>65</v>
      </c>
      <c r="XBM18" t="s">
        <v>14</v>
      </c>
      <c r="XBN18" s="5">
        <v>43521</v>
      </c>
      <c r="XBO18" s="2" t="s">
        <v>68</v>
      </c>
      <c r="XBP18" s="7"/>
      <c r="XBQ18"/>
      <c r="XBR18"/>
      <c r="XBS18" s="10">
        <v>-1.01</v>
      </c>
      <c r="XBT18" s="2" t="s">
        <v>65</v>
      </c>
      <c r="XBU18" t="s">
        <v>14</v>
      </c>
      <c r="XBV18" s="5">
        <v>43521</v>
      </c>
      <c r="XBW18" s="2" t="s">
        <v>68</v>
      </c>
      <c r="XBX18" s="7"/>
      <c r="XBY18"/>
      <c r="XBZ18"/>
      <c r="XCA18" s="10">
        <v>-1.01</v>
      </c>
      <c r="XCB18" s="2" t="s">
        <v>65</v>
      </c>
      <c r="XCC18" t="s">
        <v>14</v>
      </c>
      <c r="XCD18" s="5">
        <v>43521</v>
      </c>
      <c r="XCE18" s="2" t="s">
        <v>68</v>
      </c>
      <c r="XCF18" s="7"/>
      <c r="XCG18"/>
      <c r="XCH18"/>
      <c r="XCI18" s="10">
        <v>-1.01</v>
      </c>
      <c r="XCJ18" s="2" t="s">
        <v>65</v>
      </c>
      <c r="XCK18" t="s">
        <v>14</v>
      </c>
      <c r="XCL18" s="5">
        <v>43521</v>
      </c>
      <c r="XCM18" s="2" t="s">
        <v>68</v>
      </c>
      <c r="XCN18" s="7"/>
      <c r="XCO18"/>
      <c r="XCP18"/>
      <c r="XCQ18" s="10">
        <v>-1.01</v>
      </c>
      <c r="XCR18" s="2" t="s">
        <v>65</v>
      </c>
      <c r="XCS18" t="s">
        <v>14</v>
      </c>
      <c r="XCT18" s="5">
        <v>43521</v>
      </c>
      <c r="XCU18" s="2" t="s">
        <v>68</v>
      </c>
      <c r="XCV18" s="7"/>
      <c r="XCW18"/>
      <c r="XCX18"/>
      <c r="XCY18" s="10">
        <v>-1.01</v>
      </c>
      <c r="XCZ18" s="2" t="s">
        <v>65</v>
      </c>
      <c r="XDA18" t="s">
        <v>14</v>
      </c>
      <c r="XDB18" s="5">
        <v>43521</v>
      </c>
      <c r="XDC18" s="2" t="s">
        <v>68</v>
      </c>
      <c r="XDD18" s="7"/>
      <c r="XDE18"/>
      <c r="XDF18"/>
      <c r="XDG18" s="10">
        <v>-1.01</v>
      </c>
      <c r="XDH18" s="2" t="s">
        <v>65</v>
      </c>
      <c r="XDI18" t="s">
        <v>14</v>
      </c>
      <c r="XDJ18" s="5">
        <v>43521</v>
      </c>
      <c r="XDK18" s="2" t="s">
        <v>68</v>
      </c>
      <c r="XDL18" s="7"/>
      <c r="XDM18"/>
      <c r="XDN18"/>
      <c r="XDO18" s="10">
        <v>-1.01</v>
      </c>
      <c r="XDP18" s="2" t="s">
        <v>65</v>
      </c>
      <c r="XDQ18" t="s">
        <v>14</v>
      </c>
      <c r="XDR18" s="5">
        <v>43521</v>
      </c>
      <c r="XDS18" s="2" t="s">
        <v>68</v>
      </c>
      <c r="XDT18" s="7"/>
      <c r="XDU18"/>
      <c r="XDV18"/>
      <c r="XDW18" s="10">
        <v>-1.01</v>
      </c>
      <c r="XDX18" s="2" t="s">
        <v>65</v>
      </c>
      <c r="XDY18" t="s">
        <v>14</v>
      </c>
      <c r="XDZ18" s="5">
        <v>43521</v>
      </c>
      <c r="XEA18" s="2" t="s">
        <v>68</v>
      </c>
      <c r="XEB18" s="7"/>
      <c r="XEC18"/>
      <c r="XED18"/>
      <c r="XEE18" s="10">
        <v>-1.01</v>
      </c>
      <c r="XEF18" s="2" t="s">
        <v>65</v>
      </c>
      <c r="XEG18" t="s">
        <v>14</v>
      </c>
      <c r="XEH18" s="5">
        <v>43521</v>
      </c>
      <c r="XEI18" s="2" t="s">
        <v>68</v>
      </c>
      <c r="XEJ18" s="7"/>
      <c r="XEK18"/>
      <c r="XEL18"/>
      <c r="XEM18" s="10">
        <v>-1.01</v>
      </c>
      <c r="XEN18" s="2" t="s">
        <v>65</v>
      </c>
      <c r="XEO18" t="s">
        <v>14</v>
      </c>
      <c r="XEP18" s="5">
        <v>43521</v>
      </c>
      <c r="XEQ18" s="2" t="s">
        <v>68</v>
      </c>
      <c r="XER18" s="7"/>
      <c r="XES18"/>
      <c r="XET18"/>
      <c r="XEU18" s="10">
        <v>-1.01</v>
      </c>
      <c r="XEV18" s="2" t="s">
        <v>65</v>
      </c>
      <c r="XEW18" t="s">
        <v>14</v>
      </c>
      <c r="XEX18" s="5">
        <v>43521</v>
      </c>
      <c r="XEY18" s="2" t="s">
        <v>68</v>
      </c>
      <c r="XEZ18" s="7"/>
      <c r="XFA18"/>
      <c r="XFB18"/>
      <c r="XFC18" s="10">
        <v>-1.01</v>
      </c>
    </row>
    <row r="19" spans="1:16383" x14ac:dyDescent="0.2">
      <c r="A19" s="2" t="s">
        <v>65</v>
      </c>
      <c r="B19" t="s">
        <v>14</v>
      </c>
      <c r="C19" s="43">
        <v>43605</v>
      </c>
      <c r="D19" s="2" t="s">
        <v>21</v>
      </c>
      <c r="E19" s="7"/>
      <c r="F19">
        <v>154283</v>
      </c>
      <c r="G19">
        <v>509708</v>
      </c>
      <c r="H19" s="10">
        <v>2.0488</v>
      </c>
      <c r="I19" s="10"/>
      <c r="J19" s="10"/>
      <c r="K19" s="27"/>
      <c r="M19" s="51" t="s">
        <v>29</v>
      </c>
    </row>
    <row r="20" spans="1:16383" x14ac:dyDescent="0.2">
      <c r="A20" s="2" t="s">
        <v>65</v>
      </c>
      <c r="B20" t="s">
        <v>14</v>
      </c>
      <c r="C20" s="43">
        <v>43633</v>
      </c>
      <c r="D20" s="2" t="s">
        <v>44</v>
      </c>
      <c r="E20" s="7">
        <v>14804</v>
      </c>
      <c r="F20"/>
      <c r="G20"/>
      <c r="H20" s="37">
        <f>0.004-0.945</f>
        <v>-0.94099999999999995</v>
      </c>
      <c r="I20" s="33">
        <v>132.6</v>
      </c>
      <c r="J20" s="14">
        <v>130.5</v>
      </c>
      <c r="K20" s="34">
        <f>J20-I20</f>
        <v>-2.0999999999999943</v>
      </c>
      <c r="L20" s="14">
        <f>-(671-36)</f>
        <v>-635</v>
      </c>
      <c r="M20" s="51" t="s">
        <v>67</v>
      </c>
    </row>
    <row r="21" spans="1:16383" x14ac:dyDescent="0.2">
      <c r="A21" s="2" t="s">
        <v>65</v>
      </c>
      <c r="B21" t="s">
        <v>14</v>
      </c>
      <c r="C21" s="43">
        <v>43633</v>
      </c>
      <c r="D21" s="2" t="s">
        <v>46</v>
      </c>
      <c r="E21" s="7">
        <v>13390039</v>
      </c>
      <c r="F21"/>
      <c r="G21"/>
      <c r="H21" s="10">
        <f>-0.6836-0.105</f>
        <v>-0.78859999999999997</v>
      </c>
      <c r="I21" s="10"/>
      <c r="J21" s="10"/>
      <c r="K21" s="27"/>
      <c r="M21" s="46">
        <f>-0.7101-0.105</f>
        <v>-0.81509999999999994</v>
      </c>
    </row>
    <row r="22" spans="1:16383" x14ac:dyDescent="0.2">
      <c r="A22" s="2" t="s">
        <v>65</v>
      </c>
      <c r="B22" t="s">
        <v>14</v>
      </c>
      <c r="C22" s="43">
        <v>43633</v>
      </c>
      <c r="D22" s="2" t="s">
        <v>23</v>
      </c>
      <c r="E22" s="7"/>
      <c r="F22"/>
      <c r="G22"/>
      <c r="H22" s="37">
        <v>-1.4200999999999999</v>
      </c>
      <c r="I22" s="10"/>
      <c r="J22" s="10"/>
      <c r="K22" s="27"/>
      <c r="M22" s="46">
        <v>-1.4200999999999999</v>
      </c>
    </row>
    <row r="23" spans="1:16383" x14ac:dyDescent="0.2">
      <c r="A23" s="2" t="s">
        <v>65</v>
      </c>
      <c r="B23" t="s">
        <v>14</v>
      </c>
      <c r="C23" s="43">
        <v>43633</v>
      </c>
      <c r="D23" s="2" t="s">
        <v>21</v>
      </c>
      <c r="E23" s="7"/>
      <c r="F23">
        <v>154283</v>
      </c>
      <c r="G23">
        <v>509708</v>
      </c>
      <c r="H23" s="10">
        <v>2.0488</v>
      </c>
      <c r="I23" s="10"/>
      <c r="J23" s="10"/>
      <c r="K23" s="27"/>
      <c r="M23" s="46">
        <v>2.0491999999999999</v>
      </c>
    </row>
    <row r="24" spans="1:16383" x14ac:dyDescent="0.2">
      <c r="A24" s="2" t="s">
        <v>65</v>
      </c>
      <c r="B24" t="s">
        <v>14</v>
      </c>
      <c r="C24" s="43">
        <v>43662</v>
      </c>
      <c r="D24" s="2" t="s">
        <v>44</v>
      </c>
      <c r="E24" s="7">
        <v>14804</v>
      </c>
      <c r="F24"/>
      <c r="G24"/>
      <c r="H24" s="37">
        <f>-0.6437-0.115-0.945</f>
        <v>-1.7037</v>
      </c>
      <c r="I24" s="33">
        <v>132.6</v>
      </c>
      <c r="J24" s="14">
        <v>130.5</v>
      </c>
      <c r="K24" s="34">
        <f>J24-I24</f>
        <v>-2.0999999999999943</v>
      </c>
      <c r="L24" s="14">
        <f>-(671-36)</f>
        <v>-635</v>
      </c>
      <c r="M24" s="51" t="s">
        <v>69</v>
      </c>
    </row>
    <row r="25" spans="1:16383" x14ac:dyDescent="0.2">
      <c r="A25" s="2" t="s">
        <v>65</v>
      </c>
      <c r="B25" t="s">
        <v>14</v>
      </c>
      <c r="C25" s="43">
        <v>43662</v>
      </c>
      <c r="D25" s="2" t="s">
        <v>46</v>
      </c>
      <c r="E25" s="7">
        <v>13390039</v>
      </c>
      <c r="F25"/>
      <c r="G25"/>
      <c r="H25" s="37">
        <f>-0.6437-0.49-0.105</f>
        <v>-1.2387000000000001</v>
      </c>
      <c r="I25" s="10"/>
      <c r="J25" s="10"/>
      <c r="K25" s="27"/>
      <c r="M25" s="51" t="s">
        <v>69</v>
      </c>
    </row>
    <row r="26" spans="1:16383" x14ac:dyDescent="0.2">
      <c r="A26" s="2" t="s">
        <v>65</v>
      </c>
      <c r="B26" t="s">
        <v>14</v>
      </c>
      <c r="C26" s="43">
        <v>43662</v>
      </c>
      <c r="D26" s="2" t="s">
        <v>23</v>
      </c>
      <c r="E26" s="7"/>
      <c r="F26"/>
      <c r="G26"/>
      <c r="H26" s="37">
        <v>-3.7271000000000001</v>
      </c>
      <c r="I26" s="10"/>
      <c r="J26" s="10"/>
      <c r="K26" s="27"/>
      <c r="M26" s="51" t="s">
        <v>69</v>
      </c>
    </row>
    <row r="27" spans="1:16383" x14ac:dyDescent="0.2">
      <c r="A27" s="2" t="s">
        <v>65</v>
      </c>
      <c r="B27" t="s">
        <v>14</v>
      </c>
      <c r="C27" s="43">
        <v>43662</v>
      </c>
      <c r="D27" s="2" t="s">
        <v>21</v>
      </c>
      <c r="E27" s="7"/>
      <c r="F27">
        <v>154253</v>
      </c>
      <c r="G27">
        <v>509674</v>
      </c>
      <c r="H27" s="10">
        <v>3.2359</v>
      </c>
      <c r="I27" s="10"/>
      <c r="J27" s="10"/>
      <c r="K27" s="27"/>
      <c r="M27" s="51" t="s">
        <v>69</v>
      </c>
    </row>
    <row r="28" spans="1:16383" x14ac:dyDescent="0.2">
      <c r="A28" s="2" t="s">
        <v>65</v>
      </c>
      <c r="B28" t="s">
        <v>14</v>
      </c>
      <c r="C28" s="43">
        <v>43691</v>
      </c>
      <c r="D28" s="2" t="s">
        <v>44</v>
      </c>
      <c r="E28" s="7">
        <v>14804</v>
      </c>
      <c r="F28"/>
      <c r="G28"/>
      <c r="H28" s="37">
        <f>-0.6437-0.115-0.945</f>
        <v>-1.7037</v>
      </c>
      <c r="I28" s="33">
        <v>132.6</v>
      </c>
      <c r="J28" s="14">
        <v>130.5</v>
      </c>
      <c r="K28" s="34">
        <f>J28-I28</f>
        <v>-2.0999999999999943</v>
      </c>
      <c r="L28" s="14">
        <f>-(671-36)</f>
        <v>-635</v>
      </c>
      <c r="M28" s="81" t="s">
        <v>70</v>
      </c>
    </row>
    <row r="29" spans="1:16383" x14ac:dyDescent="0.2">
      <c r="A29" s="2" t="s">
        <v>65</v>
      </c>
      <c r="B29" t="s">
        <v>14</v>
      </c>
      <c r="C29" s="43">
        <v>43691</v>
      </c>
      <c r="D29" s="2" t="s">
        <v>46</v>
      </c>
      <c r="E29" s="7">
        <v>13390039</v>
      </c>
      <c r="F29"/>
      <c r="G29"/>
      <c r="H29" s="37">
        <f>-0.6437-0.49-0.105</f>
        <v>-1.2387000000000001</v>
      </c>
      <c r="I29" s="19"/>
      <c r="J29" s="19"/>
      <c r="K29" s="27"/>
      <c r="M29" s="81" t="s">
        <v>70</v>
      </c>
    </row>
    <row r="30" spans="1:16383" x14ac:dyDescent="0.2">
      <c r="A30" s="2" t="s">
        <v>65</v>
      </c>
      <c r="B30" t="s">
        <v>14</v>
      </c>
      <c r="C30" s="43">
        <v>43691</v>
      </c>
      <c r="D30" s="2" t="s">
        <v>23</v>
      </c>
      <c r="E30" s="7"/>
      <c r="F30"/>
      <c r="G30"/>
      <c r="H30" s="37">
        <v>-3.7271000000000001</v>
      </c>
      <c r="I30" s="10"/>
      <c r="J30" s="10"/>
      <c r="K30" s="27"/>
      <c r="M30" s="81" t="s">
        <v>71</v>
      </c>
    </row>
    <row r="31" spans="1:16383" x14ac:dyDescent="0.2">
      <c r="A31" s="2" t="s">
        <v>65</v>
      </c>
      <c r="B31" t="s">
        <v>14</v>
      </c>
      <c r="C31" s="43">
        <v>43691</v>
      </c>
      <c r="D31" s="2" t="s">
        <v>21</v>
      </c>
      <c r="E31" s="7"/>
      <c r="F31">
        <v>154253</v>
      </c>
      <c r="G31">
        <v>509674</v>
      </c>
      <c r="H31" s="10">
        <v>3.2359</v>
      </c>
      <c r="I31" s="10"/>
      <c r="J31" s="10"/>
      <c r="K31" s="27"/>
      <c r="M31" s="51" t="s">
        <v>69</v>
      </c>
    </row>
    <row r="32" spans="1:16383" x14ac:dyDescent="0.2">
      <c r="A32" s="2" t="s">
        <v>65</v>
      </c>
      <c r="B32" t="s">
        <v>14</v>
      </c>
      <c r="C32" s="43">
        <v>43717</v>
      </c>
      <c r="D32" s="2" t="s">
        <v>44</v>
      </c>
      <c r="E32" s="7">
        <v>14804</v>
      </c>
      <c r="F32"/>
      <c r="G32"/>
      <c r="H32" s="37">
        <f>-0.6437-0.115-0.945</f>
        <v>-1.7037</v>
      </c>
      <c r="I32" s="33">
        <v>132.6</v>
      </c>
      <c r="J32" s="14">
        <v>130.5</v>
      </c>
      <c r="K32" s="34">
        <f>J32-I32</f>
        <v>-2.0999999999999943</v>
      </c>
      <c r="L32" s="14">
        <f>-(671-36)</f>
        <v>-635</v>
      </c>
      <c r="M32" s="46"/>
    </row>
    <row r="33" spans="1:13" s="4" customFormat="1" x14ac:dyDescent="0.2">
      <c r="A33" s="2" t="s">
        <v>65</v>
      </c>
      <c r="B33" t="s">
        <v>14</v>
      </c>
      <c r="C33" s="43">
        <v>43717</v>
      </c>
      <c r="D33" s="2" t="s">
        <v>46</v>
      </c>
      <c r="E33" s="7">
        <v>13390039</v>
      </c>
      <c r="F33"/>
      <c r="G33"/>
      <c r="H33" s="37">
        <f>-0.6437-0.49-0.105</f>
        <v>-1.2387000000000001</v>
      </c>
      <c r="I33" s="10"/>
      <c r="J33" s="10"/>
      <c r="K33" s="27"/>
      <c r="L33" s="15"/>
      <c r="M33" s="46"/>
    </row>
    <row r="34" spans="1:13" x14ac:dyDescent="0.2">
      <c r="A34" s="2" t="s">
        <v>65</v>
      </c>
      <c r="B34" t="s">
        <v>14</v>
      </c>
      <c r="C34" s="43">
        <v>43717</v>
      </c>
      <c r="D34" s="2" t="s">
        <v>23</v>
      </c>
      <c r="E34" s="7"/>
      <c r="F34"/>
      <c r="G34"/>
      <c r="H34" s="37">
        <v>-3.7271000000000001</v>
      </c>
      <c r="I34" s="10"/>
      <c r="J34" s="10"/>
      <c r="K34" s="27"/>
      <c r="M34" s="46"/>
    </row>
    <row r="35" spans="1:13" s="126" customFormat="1" ht="13.5" thickBot="1" x14ac:dyDescent="0.25">
      <c r="A35" s="120" t="s">
        <v>65</v>
      </c>
      <c r="B35" s="118" t="s">
        <v>14</v>
      </c>
      <c r="C35" s="119">
        <v>43717</v>
      </c>
      <c r="D35" s="120" t="s">
        <v>21</v>
      </c>
      <c r="E35" s="121"/>
      <c r="F35" s="118">
        <v>154253</v>
      </c>
      <c r="G35" s="118">
        <v>509674</v>
      </c>
      <c r="H35" s="123">
        <v>3.5124</v>
      </c>
      <c r="I35" s="123"/>
      <c r="J35" s="123"/>
      <c r="K35" s="131"/>
      <c r="L35" s="125"/>
      <c r="M35" s="124"/>
    </row>
    <row r="36" spans="1:13" x14ac:dyDescent="0.2">
      <c r="A36" s="2" t="s">
        <v>65</v>
      </c>
      <c r="B36" t="s">
        <v>14</v>
      </c>
      <c r="C36" s="43">
        <v>44182</v>
      </c>
      <c r="D36" s="2" t="s">
        <v>44</v>
      </c>
      <c r="E36" s="7">
        <v>14793</v>
      </c>
      <c r="F36"/>
      <c r="G36"/>
      <c r="H36" s="37">
        <f>-0.9847-0.945</f>
        <v>-1.9297</v>
      </c>
      <c r="I36" s="33"/>
      <c r="J36" s="14"/>
      <c r="K36" s="34">
        <v>0</v>
      </c>
      <c r="L36" s="93">
        <v>-861</v>
      </c>
      <c r="M36" s="46">
        <f>-0.9847-0.945</f>
        <v>-1.9297</v>
      </c>
    </row>
    <row r="37" spans="1:13" x14ac:dyDescent="0.2">
      <c r="A37" s="2" t="s">
        <v>65</v>
      </c>
      <c r="B37" t="s">
        <v>14</v>
      </c>
      <c r="C37" s="43">
        <v>44182</v>
      </c>
      <c r="D37" s="2" t="s">
        <v>46</v>
      </c>
      <c r="E37" s="7">
        <v>13390040</v>
      </c>
      <c r="F37"/>
      <c r="G37"/>
      <c r="H37" s="37">
        <f>-1.4779-0.105</f>
        <v>-1.5829</v>
      </c>
      <c r="I37" s="10"/>
      <c r="J37" s="10"/>
      <c r="K37" s="27"/>
      <c r="L37" s="15"/>
      <c r="M37" s="46">
        <f>-1.4779-0.105</f>
        <v>-1.5829</v>
      </c>
    </row>
    <row r="38" spans="1:13" x14ac:dyDescent="0.2">
      <c r="A38" s="2" t="s">
        <v>65</v>
      </c>
      <c r="B38" t="s">
        <v>14</v>
      </c>
      <c r="C38" s="43">
        <v>44182</v>
      </c>
      <c r="D38" s="2" t="s">
        <v>23</v>
      </c>
      <c r="E38" s="7"/>
      <c r="F38"/>
      <c r="G38"/>
      <c r="H38" s="37">
        <v>-2.8056999999999999</v>
      </c>
      <c r="I38" s="10"/>
      <c r="J38" s="10"/>
      <c r="K38" s="27"/>
      <c r="M38" s="46">
        <v>-2.8056999999999999</v>
      </c>
    </row>
    <row r="39" spans="1:13" s="157" customFormat="1" x14ac:dyDescent="0.2">
      <c r="A39" s="149" t="s">
        <v>65</v>
      </c>
      <c r="B39" s="150" t="s">
        <v>14</v>
      </c>
      <c r="C39" s="151">
        <v>44182</v>
      </c>
      <c r="D39" s="149" t="s">
        <v>21</v>
      </c>
      <c r="E39" s="152"/>
      <c r="F39" s="150">
        <v>154255</v>
      </c>
      <c r="G39" s="150">
        <v>509688</v>
      </c>
      <c r="H39" s="153">
        <v>1.8986000000000001</v>
      </c>
      <c r="I39" s="153"/>
      <c r="J39" s="153"/>
      <c r="K39" s="154"/>
      <c r="L39" s="155"/>
      <c r="M39" s="156">
        <v>1.8986000000000001</v>
      </c>
    </row>
    <row r="40" spans="1:13" x14ac:dyDescent="0.2">
      <c r="A40" s="2" t="s">
        <v>65</v>
      </c>
      <c r="B40" t="s">
        <v>14</v>
      </c>
      <c r="C40" s="43">
        <v>44222</v>
      </c>
      <c r="D40" s="2" t="s">
        <v>44</v>
      </c>
      <c r="E40" s="7">
        <v>14793</v>
      </c>
      <c r="F40"/>
      <c r="G40"/>
      <c r="H40" s="37">
        <f>-0.9847-0.945</f>
        <v>-1.9297</v>
      </c>
      <c r="I40" s="33"/>
      <c r="J40" s="14"/>
      <c r="K40" s="34">
        <v>0</v>
      </c>
      <c r="L40" s="98">
        <v>-861</v>
      </c>
      <c r="M40" s="46" t="s">
        <v>212</v>
      </c>
    </row>
    <row r="41" spans="1:13" x14ac:dyDescent="0.2">
      <c r="A41" s="2" t="s">
        <v>65</v>
      </c>
      <c r="B41" t="s">
        <v>14</v>
      </c>
      <c r="C41" s="43">
        <v>44222</v>
      </c>
      <c r="D41" s="2" t="s">
        <v>46</v>
      </c>
      <c r="E41" s="7">
        <v>13390040</v>
      </c>
      <c r="F41"/>
      <c r="G41"/>
      <c r="H41" s="37">
        <f>-1.4779-0.105</f>
        <v>-1.5829</v>
      </c>
      <c r="I41" s="10"/>
      <c r="J41" s="10"/>
      <c r="K41" s="27"/>
      <c r="L41" s="15"/>
      <c r="M41" s="46" t="s">
        <v>212</v>
      </c>
    </row>
    <row r="42" spans="1:13" x14ac:dyDescent="0.2">
      <c r="A42" s="2" t="s">
        <v>65</v>
      </c>
      <c r="B42" t="s">
        <v>14</v>
      </c>
      <c r="C42" s="43">
        <v>44222</v>
      </c>
      <c r="D42" s="2" t="s">
        <v>23</v>
      </c>
      <c r="E42" s="7"/>
      <c r="F42"/>
      <c r="G42"/>
      <c r="H42" s="37">
        <v>-2.8056999999999999</v>
      </c>
      <c r="I42" s="10"/>
      <c r="J42" s="10"/>
      <c r="K42" s="27"/>
      <c r="M42" s="160" t="s">
        <v>216</v>
      </c>
    </row>
    <row r="43" spans="1:13" s="126" customFormat="1" ht="13.5" thickBot="1" x14ac:dyDescent="0.25">
      <c r="A43" s="165" t="s">
        <v>65</v>
      </c>
      <c r="B43" s="166" t="s">
        <v>14</v>
      </c>
      <c r="C43" s="119">
        <v>44222</v>
      </c>
      <c r="D43" s="165" t="s">
        <v>21</v>
      </c>
      <c r="E43" s="167"/>
      <c r="F43" s="166">
        <v>154255</v>
      </c>
      <c r="G43" s="166">
        <v>509688</v>
      </c>
      <c r="H43" s="168">
        <v>1.8986000000000001</v>
      </c>
      <c r="I43" s="168"/>
      <c r="J43" s="168"/>
      <c r="K43" s="169"/>
      <c r="L43" s="170"/>
      <c r="M43" s="171">
        <v>1.8772</v>
      </c>
    </row>
    <row r="44" spans="1:13" x14ac:dyDescent="0.2">
      <c r="A44"/>
      <c r="B44"/>
      <c r="C44"/>
      <c r="D44"/>
      <c r="E44" s="7"/>
      <c r="F44"/>
      <c r="G44"/>
      <c r="H44" s="10"/>
      <c r="I44" s="57"/>
      <c r="J44" s="10"/>
      <c r="K44" s="27"/>
      <c r="M44" s="51"/>
    </row>
    <row r="45" spans="1:13" x14ac:dyDescent="0.2">
      <c r="A45"/>
      <c r="B45"/>
      <c r="C45"/>
      <c r="D45"/>
      <c r="E45" s="7"/>
      <c r="F45"/>
      <c r="G45"/>
      <c r="H45" s="10"/>
      <c r="I45" s="57"/>
      <c r="J45" s="10"/>
      <c r="K45" s="27"/>
      <c r="M45" s="51"/>
    </row>
    <row r="46" spans="1:13" x14ac:dyDescent="0.2">
      <c r="A46"/>
      <c r="B46"/>
      <c r="C46"/>
      <c r="D46"/>
      <c r="E46" s="7"/>
      <c r="F46"/>
      <c r="G46"/>
      <c r="H46" s="10"/>
      <c r="I46" s="57"/>
      <c r="J46" s="10"/>
      <c r="K46" s="27"/>
      <c r="M46" s="51"/>
    </row>
    <row r="47" spans="1:13" x14ac:dyDescent="0.2">
      <c r="A47"/>
      <c r="B47"/>
      <c r="C47"/>
      <c r="D47"/>
      <c r="E47" s="7"/>
      <c r="F47"/>
      <c r="G47"/>
      <c r="H47" s="10"/>
      <c r="I47" s="57"/>
      <c r="J47" s="10"/>
      <c r="K47" s="27"/>
      <c r="M47" s="51"/>
    </row>
    <row r="48" spans="1:13" x14ac:dyDescent="0.2">
      <c r="A48"/>
      <c r="B48"/>
      <c r="C48"/>
      <c r="D48"/>
      <c r="E48" s="7"/>
      <c r="F48"/>
      <c r="G48"/>
      <c r="H48" s="10"/>
      <c r="I48" s="57"/>
      <c r="J48" s="10"/>
      <c r="K48" s="27"/>
      <c r="M48" s="51"/>
    </row>
    <row r="49" spans="1:13" x14ac:dyDescent="0.2">
      <c r="A49"/>
      <c r="B49"/>
      <c r="C49"/>
      <c r="D49"/>
      <c r="E49" s="7"/>
      <c r="F49"/>
      <c r="G49"/>
      <c r="H49" s="10"/>
      <c r="I49" s="57"/>
      <c r="J49" s="10"/>
      <c r="K49" s="27"/>
      <c r="M49" s="51"/>
    </row>
    <row r="50" spans="1:13" x14ac:dyDescent="0.2">
      <c r="A50"/>
      <c r="B50"/>
      <c r="C50"/>
      <c r="D50"/>
      <c r="E50" s="7"/>
      <c r="F50"/>
      <c r="G50"/>
      <c r="H50" s="10"/>
      <c r="I50" s="57"/>
      <c r="J50" s="10"/>
      <c r="K50" s="27"/>
      <c r="M50" s="51"/>
    </row>
    <row r="51" spans="1:13" x14ac:dyDescent="0.2">
      <c r="A51"/>
      <c r="B51"/>
      <c r="C51"/>
      <c r="D51"/>
      <c r="E51" s="7"/>
      <c r="F51"/>
      <c r="G51"/>
      <c r="H51" s="10"/>
      <c r="I51" s="57"/>
      <c r="J51" s="10"/>
      <c r="K51" s="27"/>
      <c r="M51" s="51"/>
    </row>
    <row r="52" spans="1:13" x14ac:dyDescent="0.2">
      <c r="A52"/>
      <c r="B52"/>
      <c r="C52"/>
      <c r="D52"/>
      <c r="E52" s="7"/>
      <c r="F52"/>
      <c r="G52"/>
      <c r="H52" s="10"/>
      <c r="I52" s="57"/>
      <c r="J52" s="10"/>
      <c r="K52" s="27"/>
      <c r="M52" s="51"/>
    </row>
    <row r="53" spans="1:13" x14ac:dyDescent="0.2">
      <c r="A53"/>
      <c r="B53"/>
      <c r="C53"/>
      <c r="D53"/>
      <c r="E53" s="7"/>
      <c r="F53"/>
      <c r="G53"/>
      <c r="H53" s="10"/>
      <c r="I53" s="57"/>
      <c r="J53" s="10"/>
      <c r="K53" s="27"/>
      <c r="M53" s="51"/>
    </row>
    <row r="54" spans="1:13" x14ac:dyDescent="0.2">
      <c r="A54"/>
      <c r="B54"/>
      <c r="C54"/>
      <c r="D54"/>
      <c r="E54" s="7"/>
      <c r="F54"/>
      <c r="G54"/>
      <c r="H54" s="10"/>
      <c r="I54" s="57"/>
      <c r="J54" s="10"/>
      <c r="K54" s="27"/>
      <c r="M54" s="51"/>
    </row>
    <row r="55" spans="1:13" ht="33.75" customHeight="1" x14ac:dyDescent="0.2">
      <c r="A55"/>
      <c r="B55"/>
      <c r="C55"/>
      <c r="D55"/>
      <c r="E55" s="7"/>
      <c r="F55"/>
      <c r="G55"/>
      <c r="H55" s="10"/>
      <c r="I55" s="57"/>
      <c r="J55" s="10"/>
      <c r="K55" s="27"/>
      <c r="M55" s="51"/>
    </row>
    <row r="56" spans="1:13" x14ac:dyDescent="0.2">
      <c r="A56"/>
      <c r="B56"/>
      <c r="C56"/>
      <c r="D56"/>
      <c r="E56" s="7"/>
      <c r="F56"/>
      <c r="G56"/>
      <c r="H56" s="10"/>
      <c r="I56" s="57"/>
      <c r="J56" s="10"/>
      <c r="K56" s="27"/>
      <c r="M56" s="51"/>
    </row>
    <row r="57" spans="1:13" x14ac:dyDescent="0.2">
      <c r="A57"/>
      <c r="B57"/>
      <c r="C57"/>
      <c r="D57"/>
      <c r="E57" s="7"/>
      <c r="F57"/>
      <c r="G57"/>
      <c r="H57" s="10"/>
      <c r="I57" s="57"/>
      <c r="J57" s="10"/>
      <c r="K57" s="27"/>
      <c r="M57" s="51"/>
    </row>
    <row r="58" spans="1:13" x14ac:dyDescent="0.2">
      <c r="A58"/>
      <c r="B58"/>
      <c r="C58"/>
      <c r="D58"/>
      <c r="E58" s="7"/>
      <c r="F58"/>
      <c r="G58"/>
      <c r="H58" s="10"/>
      <c r="I58" s="57"/>
      <c r="J58" s="10"/>
      <c r="K58" s="27"/>
      <c r="M58" s="51"/>
    </row>
    <row r="59" spans="1:13" x14ac:dyDescent="0.2">
      <c r="A59"/>
      <c r="B59"/>
      <c r="C59"/>
      <c r="D59"/>
      <c r="E59" s="7"/>
      <c r="F59"/>
      <c r="G59"/>
      <c r="H59" s="10"/>
      <c r="I59" s="57"/>
      <c r="J59" s="10"/>
      <c r="K59" s="27"/>
      <c r="M59" s="51"/>
    </row>
    <row r="60" spans="1:13" x14ac:dyDescent="0.2">
      <c r="A60"/>
      <c r="B60"/>
      <c r="C60"/>
      <c r="D60"/>
      <c r="E60" s="7"/>
      <c r="F60"/>
      <c r="G60"/>
      <c r="H60" s="10"/>
      <c r="I60" s="57"/>
      <c r="J60" s="10"/>
      <c r="K60" s="27"/>
      <c r="M60" s="51"/>
    </row>
    <row r="61" spans="1:13" x14ac:dyDescent="0.2">
      <c r="A61"/>
      <c r="B61"/>
      <c r="C61"/>
      <c r="D61"/>
      <c r="E61" s="7"/>
      <c r="F61"/>
      <c r="G61"/>
      <c r="H61" s="10"/>
      <c r="I61" s="57"/>
      <c r="J61" s="10"/>
      <c r="K61" s="27"/>
      <c r="M61" s="51"/>
    </row>
    <row r="62" spans="1:13" x14ac:dyDescent="0.2">
      <c r="A62"/>
      <c r="B62"/>
      <c r="C62"/>
      <c r="D62"/>
      <c r="E62" s="7"/>
      <c r="F62"/>
      <c r="G62"/>
      <c r="H62" s="10"/>
      <c r="I62" s="57"/>
      <c r="J62" s="10"/>
      <c r="K62" s="27"/>
      <c r="M62" s="51"/>
    </row>
    <row r="63" spans="1:13" x14ac:dyDescent="0.2">
      <c r="A63"/>
      <c r="B63"/>
      <c r="C63"/>
      <c r="D63"/>
      <c r="E63" s="7"/>
      <c r="F63"/>
      <c r="G63"/>
      <c r="H63" s="10"/>
      <c r="I63" s="57"/>
      <c r="J63" s="10"/>
      <c r="K63" s="27"/>
      <c r="M63" s="51"/>
    </row>
    <row r="64" spans="1:13" x14ac:dyDescent="0.2">
      <c r="A64"/>
      <c r="B64"/>
      <c r="C64"/>
      <c r="D64"/>
      <c r="E64" s="7"/>
      <c r="F64"/>
      <c r="G64"/>
      <c r="H64" s="10"/>
      <c r="I64" s="57"/>
      <c r="J64" s="10"/>
      <c r="K64" s="27"/>
      <c r="M64" s="51"/>
    </row>
    <row r="65" spans="1:13" x14ac:dyDescent="0.2">
      <c r="A65"/>
      <c r="B65"/>
      <c r="C65"/>
      <c r="D65"/>
      <c r="E65" s="7"/>
      <c r="F65"/>
      <c r="G65"/>
      <c r="H65" s="10"/>
      <c r="I65" s="57"/>
      <c r="J65" s="10"/>
      <c r="K65" s="27"/>
      <c r="M65" s="51"/>
    </row>
    <row r="66" spans="1:13" x14ac:dyDescent="0.2">
      <c r="A66"/>
      <c r="B66"/>
      <c r="C66"/>
      <c r="D66"/>
      <c r="E66" s="7"/>
      <c r="F66"/>
      <c r="G66"/>
      <c r="H66" s="10"/>
      <c r="I66" s="57"/>
      <c r="J66" s="10"/>
      <c r="K66" s="27"/>
      <c r="M66" s="51"/>
    </row>
    <row r="67" spans="1:13" ht="58.5" customHeight="1" x14ac:dyDescent="0.2">
      <c r="A67"/>
      <c r="B67"/>
      <c r="C67"/>
      <c r="D67"/>
      <c r="E67" s="7"/>
      <c r="F67"/>
      <c r="G67"/>
      <c r="H67" s="10"/>
      <c r="I67" s="57"/>
      <c r="J67" s="10"/>
      <c r="K67" s="27"/>
      <c r="M67" s="51"/>
    </row>
    <row r="68" spans="1:13" x14ac:dyDescent="0.2">
      <c r="A68"/>
      <c r="B68"/>
      <c r="C68"/>
      <c r="D68"/>
      <c r="E68" s="7"/>
      <c r="F68"/>
      <c r="G68"/>
      <c r="H68" s="10"/>
      <c r="I68" s="57"/>
      <c r="J68" s="10"/>
      <c r="K68" s="27"/>
      <c r="M68" s="51"/>
    </row>
    <row r="69" spans="1:13" x14ac:dyDescent="0.2">
      <c r="A69"/>
      <c r="B69"/>
      <c r="C69"/>
      <c r="D69"/>
      <c r="E69" s="7"/>
      <c r="F69"/>
      <c r="G69"/>
      <c r="H69" s="10"/>
      <c r="I69" s="57"/>
      <c r="J69" s="10"/>
      <c r="K69" s="27"/>
      <c r="M69" s="51"/>
    </row>
    <row r="70" spans="1:13" x14ac:dyDescent="0.2">
      <c r="A70"/>
      <c r="B70"/>
      <c r="C70"/>
      <c r="D70"/>
      <c r="E70" s="7"/>
      <c r="F70"/>
      <c r="G70"/>
      <c r="H70" s="10"/>
      <c r="I70" s="57"/>
      <c r="J70" s="10"/>
      <c r="K70" s="27"/>
      <c r="M70" s="51"/>
    </row>
    <row r="71" spans="1:13" x14ac:dyDescent="0.2">
      <c r="A71"/>
      <c r="B71"/>
      <c r="C71"/>
      <c r="D71"/>
      <c r="E71" s="7"/>
      <c r="F71"/>
      <c r="G71"/>
      <c r="H71" s="10"/>
      <c r="I71" s="57"/>
      <c r="J71" s="10"/>
      <c r="K71" s="27"/>
      <c r="M71" s="51"/>
    </row>
    <row r="72" spans="1:13" x14ac:dyDescent="0.2">
      <c r="A72"/>
      <c r="B72"/>
      <c r="C72"/>
      <c r="D72"/>
      <c r="E72" s="7"/>
      <c r="F72"/>
      <c r="G72"/>
      <c r="H72" s="10"/>
      <c r="I72" s="57"/>
      <c r="J72" s="10"/>
      <c r="K72" s="27"/>
      <c r="M72" s="51"/>
    </row>
    <row r="73" spans="1:13" x14ac:dyDescent="0.2">
      <c r="A73"/>
      <c r="B73"/>
      <c r="C73"/>
      <c r="D73"/>
      <c r="E73" s="7"/>
      <c r="F73"/>
      <c r="G73"/>
      <c r="H73" s="10"/>
      <c r="I73" s="57"/>
      <c r="J73" s="10"/>
      <c r="K73" s="27"/>
      <c r="M73" s="51"/>
    </row>
    <row r="74" spans="1:13" x14ac:dyDescent="0.2">
      <c r="A74"/>
      <c r="B74"/>
      <c r="C74"/>
      <c r="D74"/>
      <c r="E74" s="7"/>
      <c r="F74"/>
      <c r="G74"/>
      <c r="H74" s="10"/>
      <c r="I74" s="57"/>
      <c r="J74" s="10"/>
      <c r="K74" s="27"/>
      <c r="M74" s="51"/>
    </row>
    <row r="75" spans="1:13" x14ac:dyDescent="0.2">
      <c r="A75"/>
      <c r="B75"/>
      <c r="C75"/>
      <c r="D75"/>
      <c r="E75" s="7"/>
      <c r="F75"/>
      <c r="G75"/>
      <c r="H75" s="10"/>
      <c r="I75" s="57"/>
      <c r="J75" s="10"/>
      <c r="K75" s="27"/>
      <c r="M75" s="51"/>
    </row>
    <row r="76" spans="1:13" x14ac:dyDescent="0.2">
      <c r="A76"/>
      <c r="B76"/>
      <c r="C76"/>
      <c r="D76"/>
      <c r="E76" s="7"/>
      <c r="F76"/>
      <c r="G76"/>
      <c r="H76" s="10"/>
      <c r="I76" s="57"/>
      <c r="J76" s="10"/>
      <c r="K76" s="27"/>
      <c r="M76" s="51"/>
    </row>
    <row r="77" spans="1:13" x14ac:dyDescent="0.2">
      <c r="A77"/>
      <c r="B77"/>
      <c r="C77"/>
      <c r="D77"/>
      <c r="E77" s="7"/>
      <c r="F77"/>
      <c r="G77"/>
      <c r="H77" s="10"/>
      <c r="I77" s="57"/>
      <c r="J77" s="10"/>
      <c r="K77" s="27"/>
      <c r="M77" s="51"/>
    </row>
    <row r="78" spans="1:13" x14ac:dyDescent="0.2">
      <c r="A78"/>
      <c r="B78"/>
      <c r="C78"/>
      <c r="D78"/>
      <c r="E78" s="7"/>
      <c r="F78"/>
      <c r="G78"/>
      <c r="H78" s="10"/>
      <c r="I78" s="57"/>
      <c r="J78" s="10"/>
      <c r="K78" s="27"/>
      <c r="M78" s="51"/>
    </row>
    <row r="79" spans="1:13" x14ac:dyDescent="0.2">
      <c r="A79"/>
      <c r="B79"/>
      <c r="C79"/>
      <c r="D79"/>
      <c r="E79" s="7"/>
      <c r="F79"/>
      <c r="G79"/>
      <c r="H79" s="10"/>
      <c r="I79" s="57"/>
      <c r="J79" s="10"/>
      <c r="K79" s="27"/>
      <c r="M79" s="51"/>
    </row>
    <row r="80" spans="1:13" x14ac:dyDescent="0.2">
      <c r="A80"/>
      <c r="B80"/>
      <c r="C80"/>
      <c r="D80"/>
      <c r="E80" s="7"/>
      <c r="F80"/>
      <c r="G80"/>
      <c r="H80" s="10"/>
      <c r="I80" s="57"/>
      <c r="J80" s="10"/>
      <c r="K80" s="27"/>
      <c r="M80" s="51"/>
    </row>
    <row r="81" spans="1:13" x14ac:dyDescent="0.2">
      <c r="A81"/>
      <c r="B81"/>
      <c r="C81"/>
      <c r="D81"/>
      <c r="E81" s="7"/>
      <c r="F81"/>
      <c r="G81"/>
      <c r="H81" s="10"/>
      <c r="I81" s="57"/>
      <c r="J81" s="10"/>
      <c r="K81" s="27"/>
      <c r="M81" s="51"/>
    </row>
    <row r="82" spans="1:13" ht="42.75" customHeight="1" x14ac:dyDescent="0.2">
      <c r="A82"/>
      <c r="B82"/>
      <c r="C82"/>
      <c r="D82"/>
      <c r="E82" s="7"/>
      <c r="F82"/>
      <c r="G82"/>
      <c r="H82" s="10"/>
      <c r="I82" s="57"/>
      <c r="J82" s="10"/>
      <c r="K82" s="27"/>
      <c r="M82" s="51"/>
    </row>
    <row r="83" spans="1:13" x14ac:dyDescent="0.2">
      <c r="A83"/>
      <c r="B83"/>
      <c r="C83"/>
      <c r="D83"/>
      <c r="E83" s="7"/>
      <c r="F83"/>
      <c r="G83"/>
      <c r="H83" s="10"/>
      <c r="I83" s="57"/>
      <c r="J83" s="10"/>
      <c r="K83" s="27"/>
      <c r="M83" s="51"/>
    </row>
    <row r="84" spans="1:13" ht="12.75" customHeight="1" x14ac:dyDescent="0.2">
      <c r="A84"/>
      <c r="B84"/>
      <c r="C84"/>
      <c r="D84"/>
      <c r="E84" s="7"/>
      <c r="F84"/>
      <c r="G84"/>
      <c r="H84" s="10"/>
      <c r="I84" s="57"/>
      <c r="J84" s="10"/>
      <c r="K84" s="27"/>
      <c r="M84" s="51"/>
    </row>
    <row r="85" spans="1:13" ht="12.75" customHeight="1" x14ac:dyDescent="0.2">
      <c r="A85"/>
      <c r="B85"/>
      <c r="C85"/>
      <c r="D85"/>
      <c r="E85" s="7"/>
      <c r="F85"/>
      <c r="G85"/>
      <c r="H85" s="10"/>
      <c r="I85" s="57"/>
      <c r="J85" s="10"/>
      <c r="K85" s="27"/>
      <c r="M85" s="51"/>
    </row>
    <row r="86" spans="1:13" x14ac:dyDescent="0.2">
      <c r="A86"/>
      <c r="B86"/>
      <c r="C86"/>
      <c r="D86"/>
      <c r="E86" s="7"/>
      <c r="F86"/>
      <c r="G86"/>
      <c r="H86" s="10"/>
      <c r="I86" s="57"/>
      <c r="J86" s="10"/>
      <c r="K86" s="27"/>
      <c r="M86" s="51"/>
    </row>
    <row r="87" spans="1:13" x14ac:dyDescent="0.2">
      <c r="A87"/>
      <c r="B87"/>
      <c r="C87"/>
      <c r="D87"/>
      <c r="E87" s="7"/>
      <c r="F87"/>
      <c r="G87"/>
      <c r="H87" s="10"/>
      <c r="I87" s="57"/>
      <c r="J87" s="10"/>
      <c r="K87" s="27"/>
      <c r="M87" s="51"/>
    </row>
    <row r="88" spans="1:13" x14ac:dyDescent="0.2">
      <c r="A88"/>
      <c r="B88"/>
      <c r="C88"/>
      <c r="D88"/>
      <c r="E88" s="7"/>
      <c r="F88"/>
      <c r="G88"/>
      <c r="H88" s="10"/>
      <c r="I88" s="57"/>
      <c r="J88" s="10"/>
      <c r="K88" s="27"/>
      <c r="M88" s="51"/>
    </row>
    <row r="89" spans="1:13" x14ac:dyDescent="0.2">
      <c r="A89"/>
      <c r="B89"/>
      <c r="C89"/>
      <c r="D89"/>
      <c r="E89" s="7"/>
      <c r="F89"/>
      <c r="G89"/>
      <c r="H89" s="10"/>
      <c r="I89" s="57"/>
      <c r="J89" s="10"/>
      <c r="K89" s="27"/>
      <c r="M89" s="51"/>
    </row>
    <row r="90" spans="1:13" x14ac:dyDescent="0.2">
      <c r="A90"/>
      <c r="B90"/>
      <c r="C90"/>
      <c r="D90"/>
      <c r="E90" s="7"/>
      <c r="F90"/>
      <c r="G90"/>
      <c r="H90" s="10"/>
      <c r="I90" s="57"/>
      <c r="J90" s="10"/>
      <c r="K90" s="27"/>
      <c r="M90" s="51"/>
    </row>
    <row r="91" spans="1:13" x14ac:dyDescent="0.2">
      <c r="A91"/>
      <c r="B91"/>
      <c r="C91"/>
      <c r="D91"/>
      <c r="E91" s="7"/>
      <c r="F91"/>
      <c r="G91"/>
      <c r="H91" s="10"/>
      <c r="I91" s="57"/>
      <c r="J91" s="10"/>
      <c r="K91" s="27"/>
      <c r="M91" s="51"/>
    </row>
    <row r="92" spans="1:13" x14ac:dyDescent="0.2">
      <c r="A92"/>
      <c r="B92"/>
      <c r="C92"/>
      <c r="D92"/>
      <c r="E92" s="7"/>
      <c r="F92"/>
      <c r="G92"/>
      <c r="H92" s="10"/>
      <c r="I92" s="57"/>
      <c r="J92" s="10"/>
      <c r="K92" s="27"/>
      <c r="M92" s="51"/>
    </row>
    <row r="93" spans="1:13" x14ac:dyDescent="0.2">
      <c r="A93"/>
      <c r="B93"/>
      <c r="C93"/>
      <c r="D93"/>
      <c r="E93" s="7"/>
      <c r="F93"/>
      <c r="G93"/>
      <c r="H93" s="10"/>
      <c r="I93" s="57"/>
      <c r="J93" s="10"/>
      <c r="K93" s="27"/>
      <c r="M93" s="51"/>
    </row>
    <row r="94" spans="1:13" x14ac:dyDescent="0.2">
      <c r="A94"/>
      <c r="B94"/>
      <c r="C94"/>
      <c r="D94"/>
      <c r="E94" s="7"/>
      <c r="F94"/>
      <c r="G94"/>
      <c r="H94" s="10"/>
      <c r="I94" s="57"/>
      <c r="J94" s="10"/>
      <c r="K94" s="27"/>
      <c r="M94" s="51"/>
    </row>
    <row r="95" spans="1:13" x14ac:dyDescent="0.2">
      <c r="A95"/>
      <c r="B95"/>
      <c r="C95"/>
      <c r="D95"/>
      <c r="E95" s="7"/>
      <c r="F95"/>
      <c r="G95"/>
      <c r="H95" s="10"/>
      <c r="I95" s="57"/>
      <c r="J95" s="10"/>
      <c r="K95" s="27"/>
      <c r="M95" s="51"/>
    </row>
    <row r="96" spans="1:13" x14ac:dyDescent="0.2">
      <c r="A96"/>
      <c r="B96"/>
      <c r="C96"/>
      <c r="D96"/>
      <c r="E96" s="7"/>
      <c r="F96"/>
      <c r="G96"/>
      <c r="H96" s="10"/>
      <c r="I96" s="57"/>
      <c r="J96" s="10"/>
      <c r="K96" s="27"/>
      <c r="M96" s="51"/>
    </row>
    <row r="97" spans="1:13" x14ac:dyDescent="0.2">
      <c r="A97"/>
      <c r="B97"/>
      <c r="C97"/>
      <c r="D97"/>
      <c r="E97" s="7"/>
      <c r="F97"/>
      <c r="G97"/>
      <c r="H97" s="10"/>
      <c r="I97" s="57"/>
      <c r="J97" s="10"/>
      <c r="K97" s="27"/>
      <c r="M97" s="51"/>
    </row>
    <row r="98" spans="1:13" x14ac:dyDescent="0.2">
      <c r="A98"/>
      <c r="B98"/>
      <c r="C98"/>
      <c r="D98"/>
      <c r="E98" s="7"/>
      <c r="F98"/>
      <c r="G98"/>
      <c r="H98" s="10"/>
      <c r="I98" s="57"/>
      <c r="J98" s="10"/>
      <c r="K98" s="27"/>
      <c r="M98" s="51"/>
    </row>
    <row r="99" spans="1:13" x14ac:dyDescent="0.2">
      <c r="A99"/>
      <c r="B99"/>
      <c r="C99"/>
      <c r="D99"/>
      <c r="E99" s="7"/>
      <c r="F99"/>
      <c r="G99"/>
      <c r="H99" s="10"/>
      <c r="I99" s="57"/>
      <c r="J99" s="10"/>
      <c r="K99" s="27"/>
      <c r="M99" s="51"/>
    </row>
    <row r="100" spans="1:13" x14ac:dyDescent="0.2">
      <c r="A100"/>
      <c r="B100"/>
      <c r="C100"/>
      <c r="D100"/>
      <c r="E100" s="7"/>
      <c r="F100"/>
      <c r="G100"/>
      <c r="H100" s="10"/>
      <c r="I100" s="57"/>
      <c r="J100" s="10"/>
      <c r="K100" s="27"/>
      <c r="M100" s="51"/>
    </row>
    <row r="101" spans="1:13" x14ac:dyDescent="0.2">
      <c r="A101"/>
      <c r="B101"/>
      <c r="C101"/>
      <c r="D101"/>
      <c r="E101" s="7"/>
      <c r="F101"/>
      <c r="G101"/>
      <c r="H101" s="10"/>
      <c r="I101" s="57"/>
      <c r="J101" s="10"/>
      <c r="K101" s="27"/>
      <c r="M101" s="51"/>
    </row>
    <row r="102" spans="1:13" x14ac:dyDescent="0.2">
      <c r="A102"/>
      <c r="B102"/>
      <c r="C102"/>
      <c r="D102"/>
      <c r="E102" s="7"/>
      <c r="F102"/>
      <c r="G102"/>
      <c r="H102" s="10"/>
      <c r="I102" s="57"/>
      <c r="J102" s="10"/>
      <c r="K102" s="27"/>
      <c r="M102" s="51"/>
    </row>
    <row r="103" spans="1:13" x14ac:dyDescent="0.2">
      <c r="A103"/>
      <c r="B103"/>
      <c r="C103"/>
      <c r="D103"/>
      <c r="E103" s="7"/>
      <c r="F103"/>
      <c r="G103"/>
      <c r="H103" s="10"/>
      <c r="I103" s="57"/>
      <c r="J103" s="10"/>
      <c r="K103" s="27"/>
      <c r="M103" s="51"/>
    </row>
    <row r="104" spans="1:13" x14ac:dyDescent="0.2">
      <c r="A104"/>
      <c r="B104"/>
      <c r="C104"/>
      <c r="D104"/>
      <c r="E104" s="7"/>
      <c r="F104"/>
      <c r="G104"/>
      <c r="H104" s="10"/>
      <c r="I104" s="57"/>
      <c r="J104" s="10"/>
      <c r="K104" s="27"/>
      <c r="M104" s="51"/>
    </row>
    <row r="105" spans="1:13" x14ac:dyDescent="0.2">
      <c r="A105"/>
      <c r="B105"/>
      <c r="C105"/>
      <c r="D105"/>
      <c r="E105" s="7"/>
      <c r="F105"/>
      <c r="G105"/>
      <c r="H105" s="10"/>
      <c r="I105" s="57"/>
      <c r="J105" s="10"/>
      <c r="K105" s="27"/>
      <c r="M105" s="51"/>
    </row>
    <row r="106" spans="1:13" x14ac:dyDescent="0.2">
      <c r="A106"/>
      <c r="B106"/>
      <c r="C106"/>
      <c r="D106"/>
      <c r="E106" s="7"/>
      <c r="F106"/>
      <c r="G106"/>
      <c r="H106" s="10"/>
      <c r="I106" s="57"/>
      <c r="J106" s="10"/>
      <c r="K106" s="27"/>
      <c r="M106" s="51"/>
    </row>
    <row r="107" spans="1:13" x14ac:dyDescent="0.2">
      <c r="A107"/>
      <c r="B107"/>
      <c r="C107"/>
      <c r="D107"/>
      <c r="E107" s="7"/>
      <c r="F107"/>
      <c r="G107"/>
      <c r="H107" s="10"/>
      <c r="I107" s="57"/>
      <c r="J107" s="10"/>
      <c r="K107" s="27"/>
      <c r="M107" s="51"/>
    </row>
    <row r="108" spans="1:13" x14ac:dyDescent="0.2">
      <c r="A108"/>
      <c r="B108"/>
      <c r="C108"/>
      <c r="D108"/>
      <c r="E108" s="7"/>
      <c r="F108"/>
      <c r="G108"/>
      <c r="H108" s="10"/>
      <c r="I108" s="57"/>
      <c r="J108" s="10"/>
      <c r="K108" s="27"/>
      <c r="M108" s="51"/>
    </row>
    <row r="109" spans="1:13" x14ac:dyDescent="0.2">
      <c r="A109"/>
      <c r="B109"/>
      <c r="C109"/>
      <c r="D109"/>
      <c r="E109" s="7"/>
      <c r="F109"/>
      <c r="G109"/>
      <c r="H109" s="10"/>
      <c r="I109" s="57"/>
      <c r="J109" s="10"/>
      <c r="K109" s="27"/>
      <c r="M109" s="51"/>
    </row>
    <row r="110" spans="1:13" x14ac:dyDescent="0.2">
      <c r="A110"/>
      <c r="B110"/>
      <c r="C110"/>
      <c r="D110"/>
      <c r="E110" s="7"/>
      <c r="F110"/>
      <c r="G110"/>
      <c r="H110" s="10"/>
      <c r="I110" s="57"/>
      <c r="J110" s="10"/>
      <c r="K110" s="27"/>
      <c r="M110" s="51"/>
    </row>
    <row r="111" spans="1:13" x14ac:dyDescent="0.2">
      <c r="A111"/>
      <c r="B111"/>
      <c r="C111"/>
      <c r="D111"/>
      <c r="E111" s="7"/>
      <c r="F111"/>
      <c r="G111"/>
      <c r="H111" s="10"/>
      <c r="I111" s="57"/>
      <c r="J111" s="10"/>
      <c r="K111" s="27"/>
      <c r="M111" s="51"/>
    </row>
    <row r="112" spans="1:13" x14ac:dyDescent="0.2">
      <c r="A112"/>
      <c r="B112"/>
      <c r="C112"/>
      <c r="D112"/>
      <c r="E112" s="7"/>
      <c r="F112"/>
      <c r="G112"/>
      <c r="H112" s="10"/>
      <c r="I112" s="57"/>
      <c r="J112" s="10"/>
      <c r="K112" s="27"/>
      <c r="M112" s="51"/>
    </row>
    <row r="113" spans="1:13" x14ac:dyDescent="0.2">
      <c r="A113"/>
      <c r="B113"/>
      <c r="C113"/>
      <c r="D113"/>
      <c r="E113" s="7"/>
      <c r="F113"/>
      <c r="G113"/>
      <c r="H113" s="10"/>
      <c r="I113" s="57"/>
      <c r="J113" s="10"/>
      <c r="K113" s="27"/>
      <c r="M113" s="51"/>
    </row>
    <row r="114" spans="1:13" x14ac:dyDescent="0.2">
      <c r="A114"/>
      <c r="B114"/>
      <c r="C114"/>
      <c r="D114"/>
      <c r="E114" s="7"/>
      <c r="F114"/>
      <c r="G114"/>
      <c r="H114" s="10"/>
      <c r="I114" s="57"/>
      <c r="J114" s="10"/>
      <c r="K114" s="27"/>
      <c r="M114" s="51"/>
    </row>
    <row r="115" spans="1:13" x14ac:dyDescent="0.2">
      <c r="A115"/>
      <c r="B115"/>
      <c r="C115"/>
      <c r="D115"/>
      <c r="E115" s="7"/>
      <c r="F115"/>
      <c r="G115"/>
      <c r="H115" s="10"/>
      <c r="I115" s="57"/>
      <c r="J115" s="10"/>
      <c r="K115" s="27"/>
      <c r="M115" s="51"/>
    </row>
    <row r="116" spans="1:13" x14ac:dyDescent="0.2">
      <c r="A116"/>
      <c r="B116"/>
      <c r="C116"/>
      <c r="D116"/>
      <c r="E116" s="7"/>
      <c r="F116"/>
      <c r="G116"/>
      <c r="H116" s="10"/>
      <c r="I116" s="57"/>
      <c r="J116" s="10"/>
      <c r="K116" s="27"/>
      <c r="M116" s="51"/>
    </row>
    <row r="117" spans="1:13" x14ac:dyDescent="0.2">
      <c r="A117"/>
      <c r="B117"/>
      <c r="C117"/>
      <c r="D117"/>
      <c r="E117" s="7"/>
      <c r="F117"/>
      <c r="G117"/>
      <c r="H117" s="10"/>
      <c r="I117" s="57"/>
      <c r="J117" s="10"/>
      <c r="K117" s="27"/>
      <c r="M117" s="51"/>
    </row>
    <row r="118" spans="1:13" x14ac:dyDescent="0.2">
      <c r="A118"/>
      <c r="B118"/>
      <c r="C118"/>
      <c r="D118"/>
      <c r="E118" s="7"/>
      <c r="F118"/>
      <c r="G118"/>
      <c r="H118" s="10"/>
      <c r="I118" s="57"/>
      <c r="J118" s="10"/>
      <c r="K118" s="27"/>
      <c r="M118" s="51"/>
    </row>
    <row r="119" spans="1:13" x14ac:dyDescent="0.2">
      <c r="A119"/>
      <c r="B119"/>
      <c r="C119"/>
      <c r="D119"/>
      <c r="E119" s="7"/>
      <c r="F119"/>
      <c r="G119"/>
      <c r="H119" s="10"/>
      <c r="I119" s="57"/>
      <c r="J119" s="10"/>
      <c r="K119" s="27"/>
      <c r="M119" s="51"/>
    </row>
    <row r="120" spans="1:13" x14ac:dyDescent="0.2">
      <c r="A120"/>
      <c r="B120"/>
      <c r="C120"/>
      <c r="D120"/>
      <c r="E120" s="7"/>
      <c r="F120"/>
      <c r="G120"/>
      <c r="H120" s="10"/>
      <c r="I120" s="57"/>
      <c r="J120" s="10"/>
      <c r="K120" s="27"/>
      <c r="M120" s="51"/>
    </row>
    <row r="121" spans="1:13" x14ac:dyDescent="0.2">
      <c r="A121"/>
      <c r="B121"/>
      <c r="C121"/>
      <c r="D121"/>
      <c r="E121" s="7"/>
      <c r="F121"/>
      <c r="G121"/>
      <c r="H121" s="10"/>
      <c r="I121" s="57"/>
      <c r="J121" s="10"/>
      <c r="K121" s="27"/>
      <c r="M121" s="51"/>
    </row>
    <row r="122" spans="1:13" x14ac:dyDescent="0.2">
      <c r="A122"/>
      <c r="B122"/>
      <c r="C122"/>
      <c r="D122"/>
      <c r="E122" s="7"/>
      <c r="F122"/>
      <c r="G122"/>
      <c r="H122" s="10"/>
      <c r="I122" s="57"/>
      <c r="J122" s="10"/>
      <c r="K122" s="27"/>
      <c r="M122" s="51"/>
    </row>
    <row r="123" spans="1:13" x14ac:dyDescent="0.2">
      <c r="A123"/>
      <c r="B123"/>
      <c r="C123"/>
      <c r="D123"/>
      <c r="E123" s="7"/>
      <c r="F123"/>
      <c r="G123"/>
      <c r="H123" s="10"/>
      <c r="I123" s="57"/>
      <c r="J123" s="10"/>
      <c r="K123" s="27"/>
      <c r="M123" s="51"/>
    </row>
    <row r="124" spans="1:13" x14ac:dyDescent="0.2">
      <c r="A124"/>
      <c r="B124"/>
      <c r="C124"/>
      <c r="D124"/>
      <c r="E124" s="7"/>
      <c r="F124"/>
      <c r="G124"/>
      <c r="H124" s="10"/>
      <c r="I124" s="57"/>
      <c r="J124" s="10"/>
      <c r="K124" s="27"/>
      <c r="M124" s="51"/>
    </row>
    <row r="125" spans="1:13" x14ac:dyDescent="0.2">
      <c r="A125"/>
      <c r="B125"/>
      <c r="C125"/>
      <c r="D125"/>
      <c r="E125" s="7"/>
      <c r="F125"/>
      <c r="G125"/>
      <c r="H125" s="10"/>
      <c r="I125" s="57"/>
      <c r="J125" s="10"/>
      <c r="K125" s="27"/>
      <c r="M125" s="51"/>
    </row>
    <row r="126" spans="1:13" x14ac:dyDescent="0.2">
      <c r="A126"/>
      <c r="B126"/>
      <c r="C126"/>
      <c r="D126"/>
      <c r="E126" s="7"/>
      <c r="F126"/>
      <c r="G126"/>
      <c r="H126" s="10"/>
      <c r="I126" s="57"/>
      <c r="J126" s="10"/>
      <c r="K126" s="27"/>
      <c r="M126" s="51"/>
    </row>
    <row r="127" spans="1:13" x14ac:dyDescent="0.2">
      <c r="A127"/>
      <c r="B127"/>
      <c r="C127"/>
      <c r="D127"/>
      <c r="E127" s="7"/>
      <c r="F127"/>
      <c r="G127"/>
      <c r="H127" s="10"/>
      <c r="I127" s="57"/>
      <c r="J127" s="10"/>
      <c r="K127" s="27"/>
      <c r="M127" s="51"/>
    </row>
    <row r="128" spans="1:13" x14ac:dyDescent="0.2">
      <c r="A128"/>
      <c r="B128"/>
      <c r="C128"/>
      <c r="D128"/>
      <c r="E128" s="7"/>
      <c r="F128"/>
      <c r="G128"/>
      <c r="H128" s="10"/>
      <c r="I128" s="57"/>
      <c r="J128" s="10"/>
      <c r="K128" s="27"/>
      <c r="M128" s="51"/>
    </row>
    <row r="129" spans="1:13" x14ac:dyDescent="0.2">
      <c r="A129"/>
      <c r="B129"/>
      <c r="C129"/>
      <c r="D129"/>
      <c r="E129" s="7"/>
      <c r="F129"/>
      <c r="G129"/>
      <c r="H129" s="10"/>
      <c r="I129" s="57"/>
      <c r="J129" s="10"/>
      <c r="K129" s="27"/>
      <c r="M129" s="51"/>
    </row>
    <row r="130" spans="1:13" x14ac:dyDescent="0.2">
      <c r="A130"/>
      <c r="B130"/>
      <c r="C130"/>
      <c r="D130"/>
      <c r="E130" s="7"/>
      <c r="F130"/>
      <c r="G130"/>
      <c r="H130" s="10"/>
      <c r="I130" s="57"/>
      <c r="J130" s="10"/>
      <c r="K130" s="27"/>
      <c r="M130" s="51"/>
    </row>
    <row r="131" spans="1:13" x14ac:dyDescent="0.2">
      <c r="A131"/>
      <c r="B131"/>
      <c r="C131"/>
      <c r="D131"/>
      <c r="E131" s="7"/>
      <c r="F131"/>
      <c r="G131"/>
      <c r="H131" s="10"/>
      <c r="I131" s="57"/>
      <c r="J131" s="10"/>
      <c r="K131" s="27"/>
      <c r="M131" s="51"/>
    </row>
    <row r="132" spans="1:13" x14ac:dyDescent="0.2">
      <c r="A132"/>
      <c r="B132"/>
      <c r="C132"/>
      <c r="D132"/>
      <c r="E132" s="7"/>
      <c r="F132"/>
      <c r="G132"/>
      <c r="H132" s="10"/>
      <c r="I132" s="57"/>
      <c r="J132" s="10"/>
      <c r="K132" s="27"/>
      <c r="M132" s="51"/>
    </row>
    <row r="133" spans="1:13" x14ac:dyDescent="0.2">
      <c r="A133"/>
      <c r="B133"/>
      <c r="C133"/>
      <c r="D133"/>
      <c r="E133" s="7"/>
      <c r="F133"/>
      <c r="G133"/>
      <c r="H133" s="10"/>
      <c r="I133" s="57"/>
      <c r="J133" s="10"/>
      <c r="K133" s="27"/>
      <c r="M133" s="51"/>
    </row>
    <row r="134" spans="1:13" x14ac:dyDescent="0.2">
      <c r="A134"/>
      <c r="B134"/>
      <c r="C134"/>
      <c r="D134"/>
      <c r="E134" s="7"/>
      <c r="F134"/>
      <c r="G134"/>
      <c r="H134" s="10"/>
      <c r="I134" s="57"/>
      <c r="J134" s="10"/>
      <c r="K134" s="27"/>
      <c r="M134" s="51"/>
    </row>
    <row r="135" spans="1:13" x14ac:dyDescent="0.2">
      <c r="A135"/>
      <c r="B135"/>
      <c r="C135"/>
      <c r="D135"/>
      <c r="E135" s="7"/>
      <c r="F135"/>
      <c r="G135"/>
      <c r="H135" s="10"/>
      <c r="I135" s="57"/>
      <c r="J135" s="10"/>
      <c r="K135" s="27"/>
      <c r="M135" s="51"/>
    </row>
    <row r="136" spans="1:13" x14ac:dyDescent="0.2">
      <c r="A136"/>
      <c r="B136"/>
      <c r="C136"/>
      <c r="D136"/>
      <c r="E136" s="7"/>
      <c r="F136"/>
      <c r="G136"/>
      <c r="H136" s="10"/>
      <c r="I136" s="57"/>
      <c r="J136" s="10"/>
      <c r="K136" s="27"/>
      <c r="M136" s="51"/>
    </row>
    <row r="137" spans="1:13" x14ac:dyDescent="0.2">
      <c r="A137"/>
      <c r="B137"/>
      <c r="C137"/>
      <c r="D137"/>
      <c r="E137" s="7"/>
      <c r="F137"/>
      <c r="G137"/>
      <c r="H137" s="10"/>
      <c r="I137" s="57"/>
      <c r="J137" s="10"/>
      <c r="K137" s="27"/>
      <c r="M137" s="51"/>
    </row>
    <row r="138" spans="1:13" x14ac:dyDescent="0.2">
      <c r="A138"/>
      <c r="B138"/>
      <c r="C138"/>
      <c r="D138"/>
      <c r="E138" s="7"/>
      <c r="F138"/>
      <c r="G138"/>
      <c r="H138" s="10"/>
      <c r="I138" s="57"/>
      <c r="J138" s="10"/>
      <c r="K138" s="27"/>
      <c r="M138" s="51"/>
    </row>
    <row r="139" spans="1:13" x14ac:dyDescent="0.2">
      <c r="A139"/>
      <c r="B139"/>
      <c r="C139"/>
      <c r="D139"/>
      <c r="E139" s="7"/>
      <c r="F139"/>
      <c r="G139"/>
      <c r="H139" s="10"/>
      <c r="I139" s="57"/>
      <c r="J139" s="10"/>
      <c r="K139" s="27"/>
      <c r="M139" s="51"/>
    </row>
    <row r="140" spans="1:13" x14ac:dyDescent="0.2">
      <c r="A140"/>
      <c r="B140"/>
      <c r="C140"/>
      <c r="D140"/>
      <c r="E140" s="7"/>
      <c r="F140"/>
      <c r="G140"/>
      <c r="H140" s="10"/>
      <c r="I140" s="57"/>
      <c r="J140" s="10"/>
      <c r="K140" s="27"/>
      <c r="M140" s="51"/>
    </row>
    <row r="141" spans="1:13" x14ac:dyDescent="0.2">
      <c r="A141"/>
      <c r="B141"/>
      <c r="C141"/>
      <c r="D141"/>
      <c r="E141" s="7"/>
      <c r="F141"/>
      <c r="G141"/>
      <c r="H141" s="10"/>
      <c r="I141" s="57"/>
      <c r="J141" s="10"/>
      <c r="K141" s="27"/>
      <c r="M141" s="51"/>
    </row>
    <row r="142" spans="1:13" x14ac:dyDescent="0.2">
      <c r="A142"/>
      <c r="B142"/>
      <c r="C142"/>
      <c r="D142"/>
      <c r="E142" s="7"/>
      <c r="F142"/>
      <c r="G142"/>
      <c r="H142" s="10"/>
      <c r="I142" s="57"/>
      <c r="J142" s="10"/>
      <c r="K142" s="27"/>
      <c r="M142" s="51"/>
    </row>
    <row r="143" spans="1:13" x14ac:dyDescent="0.2">
      <c r="A143"/>
      <c r="B143"/>
      <c r="C143"/>
      <c r="D143"/>
      <c r="E143" s="7"/>
      <c r="F143"/>
      <c r="G143"/>
      <c r="H143" s="10"/>
      <c r="I143" s="57"/>
      <c r="J143" s="10"/>
      <c r="K143" s="27"/>
      <c r="M143" s="51"/>
    </row>
    <row r="144" spans="1:13" x14ac:dyDescent="0.2">
      <c r="A144"/>
      <c r="B144"/>
      <c r="C144"/>
      <c r="D144"/>
      <c r="E144" s="7"/>
      <c r="F144"/>
      <c r="G144"/>
      <c r="H144" s="10"/>
      <c r="I144" s="57"/>
      <c r="J144" s="10"/>
      <c r="K144" s="27"/>
      <c r="M144" s="51"/>
    </row>
    <row r="145" spans="1:13" x14ac:dyDescent="0.2">
      <c r="A145"/>
      <c r="B145"/>
      <c r="C145"/>
      <c r="D145"/>
      <c r="E145" s="7"/>
      <c r="F145"/>
      <c r="G145"/>
      <c r="H145" s="10"/>
      <c r="I145" s="57"/>
      <c r="J145" s="10"/>
      <c r="K145" s="27"/>
      <c r="M145" s="51"/>
    </row>
    <row r="146" spans="1:13" x14ac:dyDescent="0.2">
      <c r="A146"/>
      <c r="B146"/>
      <c r="C146"/>
      <c r="D146"/>
      <c r="E146" s="7"/>
      <c r="F146"/>
      <c r="G146"/>
      <c r="H146" s="10"/>
      <c r="I146" s="57"/>
      <c r="J146" s="10"/>
      <c r="K146" s="27"/>
      <c r="M146" s="51"/>
    </row>
    <row r="147" spans="1:13" x14ac:dyDescent="0.2">
      <c r="A147"/>
      <c r="B147"/>
      <c r="C147"/>
      <c r="D147"/>
      <c r="E147" s="7"/>
      <c r="F147"/>
      <c r="G147"/>
      <c r="H147" s="10"/>
      <c r="I147" s="57"/>
      <c r="J147" s="10"/>
      <c r="K147" s="27"/>
      <c r="M147" s="51"/>
    </row>
    <row r="148" spans="1:13" x14ac:dyDescent="0.2">
      <c r="A148"/>
      <c r="B148"/>
      <c r="C148"/>
      <c r="D148"/>
      <c r="E148" s="7"/>
      <c r="F148"/>
      <c r="G148"/>
      <c r="H148" s="10"/>
      <c r="I148" s="57"/>
      <c r="J148" s="10"/>
      <c r="K148" s="27"/>
      <c r="M148" s="51"/>
    </row>
    <row r="149" spans="1:13" x14ac:dyDescent="0.2">
      <c r="A149"/>
      <c r="B149"/>
      <c r="C149"/>
      <c r="D149"/>
      <c r="E149" s="7"/>
      <c r="F149"/>
      <c r="G149"/>
      <c r="H149" s="10"/>
      <c r="I149" s="57"/>
      <c r="J149" s="10"/>
      <c r="K149" s="27"/>
      <c r="M149" s="51"/>
    </row>
    <row r="150" spans="1:13" x14ac:dyDescent="0.2">
      <c r="A150"/>
      <c r="B150"/>
      <c r="C150"/>
      <c r="D150"/>
      <c r="E150" s="7"/>
      <c r="F150"/>
      <c r="G150"/>
      <c r="H150" s="10"/>
      <c r="I150" s="57"/>
      <c r="J150" s="10"/>
      <c r="K150" s="27"/>
      <c r="M150" s="51"/>
    </row>
    <row r="151" spans="1:13" x14ac:dyDescent="0.2">
      <c r="A151"/>
      <c r="B151"/>
      <c r="C151"/>
      <c r="D151"/>
      <c r="E151" s="7"/>
      <c r="F151"/>
      <c r="G151"/>
      <c r="H151" s="10"/>
      <c r="I151" s="57"/>
      <c r="J151" s="10"/>
      <c r="K151" s="27"/>
      <c r="M151" s="51"/>
    </row>
    <row r="152" spans="1:13" x14ac:dyDescent="0.2">
      <c r="A152"/>
      <c r="B152"/>
      <c r="C152"/>
      <c r="D152"/>
      <c r="E152" s="7"/>
      <c r="F152"/>
      <c r="G152"/>
      <c r="H152" s="10"/>
      <c r="I152" s="57"/>
      <c r="J152" s="10"/>
      <c r="K152" s="27"/>
      <c r="M152" s="51"/>
    </row>
    <row r="153" spans="1:13" x14ac:dyDescent="0.2">
      <c r="A153"/>
      <c r="B153"/>
      <c r="C153"/>
      <c r="D153"/>
      <c r="E153" s="7"/>
      <c r="F153"/>
      <c r="G153"/>
      <c r="H153" s="10"/>
      <c r="I153" s="57"/>
      <c r="J153" s="10"/>
      <c r="K153" s="27"/>
      <c r="M153" s="51"/>
    </row>
    <row r="154" spans="1:13" x14ac:dyDescent="0.2">
      <c r="A154"/>
      <c r="B154"/>
      <c r="C154"/>
      <c r="D154"/>
      <c r="E154" s="7"/>
      <c r="F154"/>
      <c r="G154"/>
      <c r="H154" s="10"/>
      <c r="I154" s="57"/>
      <c r="J154" s="10"/>
      <c r="K154" s="27"/>
      <c r="M154" s="51"/>
    </row>
    <row r="155" spans="1:13" x14ac:dyDescent="0.2">
      <c r="A155"/>
      <c r="B155"/>
      <c r="C155"/>
      <c r="D155"/>
      <c r="E155" s="7"/>
      <c r="F155"/>
      <c r="G155"/>
      <c r="H155" s="10"/>
      <c r="I155" s="57"/>
      <c r="J155" s="10"/>
      <c r="K155" s="27"/>
      <c r="M155" s="51"/>
    </row>
    <row r="156" spans="1:13" x14ac:dyDescent="0.2">
      <c r="A156"/>
      <c r="B156"/>
      <c r="C156"/>
      <c r="D156"/>
      <c r="E156" s="7"/>
      <c r="F156"/>
      <c r="G156"/>
      <c r="H156" s="10"/>
      <c r="I156" s="57"/>
      <c r="J156" s="10"/>
      <c r="K156" s="27"/>
      <c r="M156" s="51"/>
    </row>
    <row r="157" spans="1:13" x14ac:dyDescent="0.2">
      <c r="A157"/>
      <c r="B157"/>
      <c r="C157"/>
      <c r="D157"/>
      <c r="E157" s="7"/>
      <c r="F157"/>
      <c r="G157"/>
      <c r="H157" s="10"/>
      <c r="I157" s="57"/>
      <c r="J157" s="10"/>
      <c r="K157" s="27"/>
      <c r="M157" s="51"/>
    </row>
    <row r="158" spans="1:13" x14ac:dyDescent="0.2">
      <c r="A158"/>
      <c r="B158"/>
      <c r="C158"/>
      <c r="D158"/>
      <c r="E158" s="7"/>
      <c r="F158"/>
      <c r="G158"/>
      <c r="H158" s="10"/>
      <c r="I158" s="57"/>
      <c r="J158" s="10"/>
      <c r="K158" s="27"/>
      <c r="M158" s="51"/>
    </row>
    <row r="159" spans="1:13" x14ac:dyDescent="0.2">
      <c r="A159"/>
      <c r="B159"/>
      <c r="C159"/>
      <c r="D159"/>
      <c r="E159" s="7"/>
      <c r="F159"/>
      <c r="G159"/>
      <c r="H159" s="10"/>
      <c r="I159" s="57"/>
      <c r="J159" s="10"/>
      <c r="K159" s="27"/>
      <c r="M159" s="51"/>
    </row>
    <row r="160" spans="1:13" x14ac:dyDescent="0.2">
      <c r="A160"/>
      <c r="B160"/>
      <c r="C160"/>
      <c r="D160"/>
      <c r="E160" s="7"/>
      <c r="F160"/>
      <c r="G160"/>
      <c r="H160" s="10"/>
      <c r="I160" s="57"/>
      <c r="J160" s="10"/>
      <c r="K160" s="27"/>
      <c r="M160" s="51"/>
    </row>
    <row r="161" spans="1:13" x14ac:dyDescent="0.2">
      <c r="A161"/>
      <c r="B161"/>
      <c r="C161"/>
      <c r="D161"/>
      <c r="E161" s="7"/>
      <c r="F161"/>
      <c r="G161"/>
      <c r="H161" s="10"/>
      <c r="I161" s="57"/>
      <c r="J161" s="10"/>
      <c r="K161" s="27"/>
      <c r="M161" s="51"/>
    </row>
    <row r="162" spans="1:13" x14ac:dyDescent="0.2">
      <c r="A162"/>
      <c r="B162"/>
      <c r="C162"/>
      <c r="D162"/>
      <c r="E162" s="7"/>
      <c r="F162"/>
      <c r="G162"/>
      <c r="H162" s="10"/>
      <c r="I162" s="57"/>
      <c r="J162" s="10"/>
      <c r="K162" s="27"/>
      <c r="M162" s="51"/>
    </row>
    <row r="163" spans="1:13" x14ac:dyDescent="0.2">
      <c r="A163"/>
      <c r="B163"/>
      <c r="C163"/>
      <c r="D163"/>
      <c r="E163" s="7"/>
      <c r="F163"/>
      <c r="G163"/>
      <c r="H163" s="10"/>
      <c r="I163" s="57"/>
      <c r="J163" s="10"/>
      <c r="K163" s="27"/>
      <c r="M163" s="51"/>
    </row>
    <row r="164" spans="1:13" x14ac:dyDescent="0.2">
      <c r="A164"/>
      <c r="B164"/>
      <c r="C164"/>
      <c r="D164"/>
      <c r="E164" s="7"/>
      <c r="F164"/>
      <c r="G164"/>
      <c r="H164" s="10"/>
      <c r="I164" s="57"/>
      <c r="J164" s="10"/>
      <c r="K164" s="27"/>
      <c r="M164" s="51"/>
    </row>
    <row r="165" spans="1:13" x14ac:dyDescent="0.2">
      <c r="A165"/>
      <c r="B165"/>
      <c r="C165"/>
      <c r="D165"/>
      <c r="E165" s="7"/>
      <c r="F165"/>
      <c r="G165"/>
      <c r="H165" s="10"/>
      <c r="I165" s="57"/>
      <c r="J165" s="10"/>
      <c r="K165" s="27"/>
      <c r="M165" s="51"/>
    </row>
    <row r="166" spans="1:13" x14ac:dyDescent="0.2">
      <c r="A166"/>
      <c r="B166"/>
      <c r="C166"/>
      <c r="D166"/>
      <c r="E166" s="7"/>
      <c r="F166"/>
      <c r="G166"/>
      <c r="H166" s="10"/>
      <c r="I166" s="57"/>
      <c r="J166" s="10"/>
      <c r="K166" s="27"/>
      <c r="M166" s="51"/>
    </row>
    <row r="167" spans="1:13" x14ac:dyDescent="0.2">
      <c r="A167"/>
      <c r="B167"/>
      <c r="C167"/>
      <c r="D167"/>
      <c r="E167" s="7"/>
      <c r="F167"/>
      <c r="G167"/>
      <c r="H167" s="10"/>
      <c r="I167" s="57"/>
      <c r="J167" s="10"/>
      <c r="K167" s="27"/>
      <c r="M167" s="51"/>
    </row>
    <row r="168" spans="1:13" x14ac:dyDescent="0.2">
      <c r="A168"/>
      <c r="B168"/>
      <c r="C168"/>
      <c r="D168"/>
      <c r="E168" s="7"/>
      <c r="F168"/>
      <c r="G168"/>
      <c r="H168" s="10"/>
      <c r="I168" s="57"/>
      <c r="J168" s="10"/>
      <c r="K168" s="27"/>
      <c r="M168" s="51"/>
    </row>
    <row r="169" spans="1:13" x14ac:dyDescent="0.2">
      <c r="A169"/>
      <c r="B169"/>
      <c r="C169"/>
      <c r="D169"/>
      <c r="E169" s="7"/>
      <c r="F169"/>
      <c r="G169"/>
      <c r="H169" s="10"/>
      <c r="I169" s="57"/>
      <c r="J169" s="10"/>
      <c r="K169" s="27"/>
      <c r="M169" s="51"/>
    </row>
    <row r="170" spans="1:13" x14ac:dyDescent="0.2">
      <c r="A170"/>
      <c r="B170"/>
      <c r="C170"/>
      <c r="D170"/>
      <c r="E170" s="7"/>
      <c r="F170"/>
      <c r="G170"/>
      <c r="H170" s="10"/>
      <c r="I170" s="57"/>
      <c r="J170" s="10"/>
      <c r="K170" s="27"/>
      <c r="M170" s="51"/>
    </row>
    <row r="171" spans="1:13" x14ac:dyDescent="0.2">
      <c r="A171"/>
      <c r="B171"/>
      <c r="C171"/>
      <c r="D171"/>
      <c r="E171" s="7"/>
      <c r="F171"/>
      <c r="G171"/>
      <c r="H171" s="10"/>
      <c r="I171" s="57"/>
      <c r="J171" s="10"/>
      <c r="K171" s="27"/>
      <c r="M171" s="51"/>
    </row>
    <row r="172" spans="1:13" x14ac:dyDescent="0.2">
      <c r="A172"/>
      <c r="B172"/>
      <c r="C172"/>
      <c r="D172"/>
      <c r="E172" s="7"/>
      <c r="F172"/>
      <c r="G172"/>
      <c r="H172" s="10"/>
      <c r="I172" s="57"/>
      <c r="J172" s="10"/>
      <c r="K172" s="27"/>
      <c r="M172" s="51"/>
    </row>
    <row r="173" spans="1:13" x14ac:dyDescent="0.2">
      <c r="A173"/>
      <c r="B173"/>
      <c r="C173"/>
      <c r="D173"/>
      <c r="E173" s="7"/>
      <c r="F173"/>
      <c r="G173"/>
      <c r="H173" s="10"/>
      <c r="I173" s="57"/>
      <c r="J173" s="10"/>
      <c r="K173" s="27"/>
      <c r="M173" s="51"/>
    </row>
    <row r="174" spans="1:13" x14ac:dyDescent="0.2">
      <c r="A174"/>
      <c r="B174"/>
      <c r="C174"/>
      <c r="D174"/>
      <c r="E174" s="7"/>
      <c r="F174"/>
      <c r="G174"/>
      <c r="H174" s="10"/>
      <c r="I174" s="57"/>
      <c r="J174" s="10"/>
      <c r="K174" s="27"/>
      <c r="M174" s="51"/>
    </row>
    <row r="175" spans="1:13" x14ac:dyDescent="0.2">
      <c r="A175"/>
      <c r="B175"/>
      <c r="C175"/>
      <c r="D175"/>
      <c r="E175" s="7"/>
      <c r="F175"/>
      <c r="G175"/>
      <c r="H175" s="10"/>
      <c r="I175" s="57"/>
      <c r="J175" s="10"/>
      <c r="K175" s="27"/>
      <c r="M175" s="51"/>
    </row>
    <row r="176" spans="1:13" x14ac:dyDescent="0.2">
      <c r="A176"/>
      <c r="B176"/>
      <c r="C176"/>
      <c r="D176"/>
      <c r="E176" s="7"/>
      <c r="F176"/>
      <c r="G176"/>
      <c r="H176" s="10"/>
      <c r="I176" s="57"/>
      <c r="J176" s="10"/>
      <c r="K176" s="27"/>
      <c r="M176" s="51"/>
    </row>
    <row r="177" spans="1:13" x14ac:dyDescent="0.2">
      <c r="A177"/>
      <c r="B177"/>
      <c r="C177"/>
      <c r="D177"/>
      <c r="E177" s="7"/>
      <c r="F177"/>
      <c r="G177"/>
      <c r="H177" s="10"/>
      <c r="I177" s="57"/>
      <c r="J177" s="10"/>
      <c r="K177" s="27"/>
      <c r="M177" s="51"/>
    </row>
    <row r="178" spans="1:13" x14ac:dyDescent="0.2">
      <c r="A178"/>
      <c r="B178"/>
      <c r="C178"/>
      <c r="D178"/>
      <c r="E178" s="7"/>
      <c r="F178"/>
      <c r="G178"/>
      <c r="H178" s="10"/>
      <c r="I178" s="57"/>
      <c r="J178" s="10"/>
      <c r="K178" s="27"/>
      <c r="M178" s="51"/>
    </row>
    <row r="179" spans="1:13" x14ac:dyDescent="0.2">
      <c r="A179"/>
      <c r="B179"/>
      <c r="C179"/>
      <c r="D179"/>
      <c r="E179" s="7"/>
      <c r="F179"/>
      <c r="G179"/>
      <c r="H179" s="10"/>
      <c r="I179" s="57"/>
      <c r="J179" s="10"/>
      <c r="K179" s="27"/>
      <c r="M179" s="51"/>
    </row>
    <row r="180" spans="1:13" x14ac:dyDescent="0.2">
      <c r="A180"/>
      <c r="B180"/>
      <c r="C180"/>
      <c r="D180"/>
      <c r="E180" s="7"/>
      <c r="F180"/>
      <c r="G180"/>
      <c r="H180" s="10"/>
      <c r="I180" s="57"/>
      <c r="J180" s="10"/>
      <c r="K180" s="27"/>
      <c r="M180" s="51"/>
    </row>
    <row r="181" spans="1:13" x14ac:dyDescent="0.2">
      <c r="A181"/>
      <c r="B181"/>
      <c r="C181"/>
      <c r="D181"/>
      <c r="E181" s="7"/>
      <c r="F181"/>
      <c r="G181"/>
      <c r="H181" s="10"/>
      <c r="I181" s="57"/>
      <c r="J181" s="10"/>
      <c r="K181" s="27"/>
      <c r="M181" s="51"/>
    </row>
    <row r="182" spans="1:13" x14ac:dyDescent="0.2">
      <c r="A182"/>
      <c r="B182"/>
      <c r="C182"/>
      <c r="D182"/>
      <c r="E182" s="7"/>
      <c r="F182"/>
      <c r="G182"/>
      <c r="H182" s="10"/>
      <c r="I182" s="57"/>
      <c r="J182" s="10"/>
      <c r="K182" s="27"/>
      <c r="M182" s="51"/>
    </row>
    <row r="183" spans="1:13" x14ac:dyDescent="0.2">
      <c r="A183"/>
      <c r="B183"/>
      <c r="C183"/>
      <c r="D183"/>
      <c r="E183" s="7"/>
      <c r="F183"/>
      <c r="G183"/>
      <c r="H183" s="10"/>
      <c r="I183" s="57"/>
      <c r="J183" s="10"/>
      <c r="K183" s="27"/>
      <c r="M183" s="51"/>
    </row>
    <row r="184" spans="1:13" x14ac:dyDescent="0.2">
      <c r="A184"/>
      <c r="B184"/>
      <c r="C184"/>
      <c r="D184"/>
      <c r="E184" s="7"/>
      <c r="F184"/>
      <c r="G184"/>
      <c r="H184" s="10"/>
      <c r="I184" s="57"/>
      <c r="J184" s="10"/>
      <c r="K184" s="27"/>
      <c r="M184" s="51"/>
    </row>
    <row r="185" spans="1:13" x14ac:dyDescent="0.2">
      <c r="A185"/>
      <c r="B185"/>
      <c r="C185"/>
      <c r="D185"/>
      <c r="E185" s="7"/>
      <c r="F185"/>
      <c r="G185"/>
      <c r="H185" s="10"/>
      <c r="I185" s="57"/>
      <c r="J185" s="10"/>
      <c r="K185" s="27"/>
      <c r="M185" s="51"/>
    </row>
    <row r="186" spans="1:13" x14ac:dyDescent="0.2">
      <c r="A186"/>
      <c r="B186"/>
      <c r="C186"/>
      <c r="D186"/>
      <c r="E186" s="7"/>
      <c r="F186"/>
      <c r="G186"/>
      <c r="H186" s="10"/>
      <c r="I186" s="57"/>
      <c r="J186" s="10"/>
      <c r="K186" s="27"/>
      <c r="M186" s="51"/>
    </row>
    <row r="187" spans="1:13" x14ac:dyDescent="0.2">
      <c r="A187"/>
      <c r="B187"/>
      <c r="C187"/>
      <c r="D187"/>
      <c r="E187" s="7"/>
      <c r="F187"/>
      <c r="G187"/>
      <c r="H187" s="10"/>
      <c r="I187" s="57"/>
      <c r="J187" s="10"/>
      <c r="K187" s="27"/>
      <c r="M187" s="51"/>
    </row>
    <row r="188" spans="1:13" x14ac:dyDescent="0.2">
      <c r="A188"/>
      <c r="B188"/>
      <c r="C188"/>
      <c r="D188"/>
      <c r="E188" s="7"/>
      <c r="F188"/>
      <c r="G188"/>
      <c r="H188" s="10"/>
      <c r="I188" s="57"/>
      <c r="J188" s="10"/>
      <c r="K188" s="27"/>
      <c r="M188" s="51"/>
    </row>
    <row r="189" spans="1:13" x14ac:dyDescent="0.2">
      <c r="A189"/>
      <c r="B189"/>
      <c r="C189"/>
      <c r="D189"/>
      <c r="E189" s="7"/>
      <c r="F189"/>
      <c r="G189"/>
      <c r="H189" s="10"/>
      <c r="I189" s="57"/>
      <c r="J189" s="10"/>
      <c r="K189" s="27"/>
      <c r="M189" s="51"/>
    </row>
    <row r="190" spans="1:13" x14ac:dyDescent="0.2">
      <c r="A190"/>
      <c r="B190"/>
      <c r="C190"/>
      <c r="D190"/>
      <c r="E190" s="7"/>
      <c r="F190"/>
      <c r="G190"/>
      <c r="H190" s="10"/>
      <c r="I190" s="57"/>
      <c r="J190" s="10"/>
      <c r="K190" s="27"/>
      <c r="M190" s="51"/>
    </row>
    <row r="191" spans="1:13" x14ac:dyDescent="0.2">
      <c r="A191"/>
      <c r="B191"/>
      <c r="C191"/>
      <c r="D191"/>
      <c r="E191" s="7"/>
      <c r="F191"/>
      <c r="G191"/>
      <c r="H191" s="10"/>
      <c r="I191" s="57"/>
      <c r="J191" s="10"/>
      <c r="K191" s="27"/>
      <c r="M191" s="51"/>
    </row>
    <row r="192" spans="1:13" x14ac:dyDescent="0.2">
      <c r="A192"/>
      <c r="B192"/>
      <c r="C192"/>
      <c r="D192"/>
      <c r="E192" s="7"/>
      <c r="F192"/>
      <c r="G192"/>
      <c r="H192" s="10"/>
      <c r="I192" s="57"/>
      <c r="J192" s="10"/>
      <c r="K192" s="27"/>
      <c r="M192" s="51"/>
    </row>
    <row r="193" spans="1:13" x14ac:dyDescent="0.2">
      <c r="A193"/>
      <c r="B193"/>
      <c r="C193"/>
      <c r="D193"/>
      <c r="E193" s="7"/>
      <c r="F193"/>
      <c r="G193"/>
      <c r="H193" s="10"/>
      <c r="I193" s="57"/>
      <c r="J193" s="10"/>
      <c r="K193" s="27"/>
      <c r="M193" s="51"/>
    </row>
    <row r="194" spans="1:13" x14ac:dyDescent="0.2">
      <c r="A194"/>
      <c r="B194"/>
      <c r="C194"/>
      <c r="D194"/>
      <c r="E194" s="7"/>
      <c r="F194"/>
      <c r="G194"/>
      <c r="H194" s="10"/>
      <c r="I194" s="57"/>
      <c r="J194" s="10"/>
      <c r="K194" s="27"/>
      <c r="M194" s="51"/>
    </row>
    <row r="195" spans="1:13" x14ac:dyDescent="0.2">
      <c r="A195"/>
      <c r="B195"/>
      <c r="C195"/>
      <c r="D195"/>
      <c r="E195" s="7"/>
      <c r="F195"/>
      <c r="G195"/>
      <c r="H195" s="10"/>
      <c r="I195" s="57"/>
      <c r="J195" s="10"/>
      <c r="K195" s="27"/>
      <c r="M195" s="51"/>
    </row>
    <row r="196" spans="1:13" x14ac:dyDescent="0.2">
      <c r="A196"/>
      <c r="B196"/>
      <c r="C196"/>
      <c r="D196"/>
      <c r="E196" s="7"/>
      <c r="F196"/>
      <c r="G196"/>
      <c r="H196" s="10"/>
      <c r="I196" s="57"/>
      <c r="J196" s="10"/>
      <c r="K196" s="27"/>
      <c r="M196" s="51"/>
    </row>
    <row r="197" spans="1:13" x14ac:dyDescent="0.2">
      <c r="A197"/>
      <c r="B197"/>
      <c r="C197"/>
      <c r="D197"/>
      <c r="E197" s="7"/>
      <c r="F197"/>
      <c r="G197"/>
      <c r="H197" s="10"/>
      <c r="I197" s="57"/>
      <c r="J197" s="10"/>
      <c r="K197" s="27"/>
      <c r="M197" s="51"/>
    </row>
    <row r="198" spans="1:13" x14ac:dyDescent="0.2">
      <c r="A198"/>
      <c r="B198"/>
      <c r="C198"/>
      <c r="D198"/>
      <c r="E198" s="7"/>
      <c r="F198"/>
      <c r="G198"/>
      <c r="H198" s="10"/>
      <c r="I198" s="57"/>
      <c r="J198" s="10"/>
      <c r="K198" s="27"/>
      <c r="M198" s="51"/>
    </row>
    <row r="199" spans="1:13" x14ac:dyDescent="0.2">
      <c r="A199"/>
      <c r="B199"/>
      <c r="C199"/>
      <c r="D199"/>
      <c r="E199" s="7"/>
      <c r="F199"/>
      <c r="G199"/>
      <c r="H199" s="10"/>
      <c r="I199" s="57"/>
      <c r="J199" s="10"/>
      <c r="K199" s="27"/>
      <c r="M199" s="51"/>
    </row>
    <row r="200" spans="1:13" x14ac:dyDescent="0.2">
      <c r="A200"/>
      <c r="B200"/>
      <c r="C200"/>
      <c r="D200"/>
      <c r="E200" s="7"/>
      <c r="F200"/>
      <c r="G200"/>
      <c r="H200" s="10"/>
      <c r="I200" s="57"/>
      <c r="J200" s="10"/>
      <c r="K200" s="27"/>
      <c r="M200" s="51"/>
    </row>
    <row r="201" spans="1:13" x14ac:dyDescent="0.2">
      <c r="A201"/>
      <c r="B201"/>
      <c r="C201"/>
      <c r="D201"/>
      <c r="E201" s="7"/>
      <c r="F201"/>
      <c r="G201"/>
      <c r="H201" s="10"/>
      <c r="I201" s="57"/>
      <c r="J201" s="10"/>
      <c r="K201" s="27"/>
      <c r="M201" s="51"/>
    </row>
    <row r="202" spans="1:13" x14ac:dyDescent="0.2">
      <c r="A202"/>
      <c r="B202"/>
      <c r="C202"/>
      <c r="D202"/>
      <c r="E202" s="7"/>
      <c r="F202"/>
      <c r="G202"/>
      <c r="H202" s="10"/>
      <c r="I202" s="57"/>
      <c r="J202" s="10"/>
      <c r="K202" s="27"/>
      <c r="M202" s="51"/>
    </row>
    <row r="203" spans="1:13" x14ac:dyDescent="0.2">
      <c r="A203"/>
      <c r="B203"/>
      <c r="C203"/>
      <c r="D203"/>
      <c r="E203" s="7"/>
      <c r="F203"/>
      <c r="G203"/>
      <c r="H203" s="10"/>
      <c r="I203" s="57"/>
      <c r="J203" s="10"/>
      <c r="K203" s="27"/>
      <c r="M203" s="51"/>
    </row>
    <row r="204" spans="1:13" x14ac:dyDescent="0.2">
      <c r="A204"/>
      <c r="B204"/>
      <c r="C204"/>
      <c r="D204"/>
      <c r="E204" s="7"/>
      <c r="F204"/>
      <c r="G204"/>
      <c r="H204" s="10"/>
      <c r="I204" s="57"/>
      <c r="J204" s="10"/>
      <c r="K204" s="27"/>
      <c r="M204" s="51"/>
    </row>
    <row r="205" spans="1:13" x14ac:dyDescent="0.2">
      <c r="A205"/>
      <c r="B205"/>
      <c r="C205"/>
      <c r="D205"/>
      <c r="E205" s="7"/>
      <c r="F205"/>
      <c r="G205"/>
      <c r="H205" s="10"/>
      <c r="I205" s="57"/>
      <c r="J205" s="10"/>
      <c r="K205" s="27"/>
      <c r="M205" s="51"/>
    </row>
    <row r="206" spans="1:13" x14ac:dyDescent="0.2">
      <c r="A206"/>
      <c r="B206"/>
      <c r="C206"/>
      <c r="D206"/>
      <c r="E206" s="7"/>
      <c r="F206"/>
      <c r="G206"/>
      <c r="H206" s="10"/>
      <c r="I206" s="57"/>
      <c r="J206" s="10"/>
      <c r="K206" s="27"/>
      <c r="M206" s="51"/>
    </row>
    <row r="207" spans="1:13" x14ac:dyDescent="0.2">
      <c r="A207"/>
      <c r="B207"/>
      <c r="C207"/>
      <c r="D207"/>
      <c r="E207" s="7"/>
      <c r="F207"/>
      <c r="G207"/>
      <c r="H207" s="10"/>
      <c r="I207" s="57"/>
      <c r="J207" s="10"/>
      <c r="K207" s="27"/>
      <c r="M207" s="51"/>
    </row>
    <row r="208" spans="1:13" x14ac:dyDescent="0.2">
      <c r="A208"/>
      <c r="B208"/>
      <c r="C208"/>
      <c r="D208"/>
      <c r="E208" s="7"/>
      <c r="F208"/>
      <c r="G208"/>
      <c r="H208" s="10"/>
      <c r="I208" s="57"/>
      <c r="J208" s="10"/>
      <c r="K208" s="27"/>
      <c r="M208" s="51"/>
    </row>
    <row r="209" spans="1:13" x14ac:dyDescent="0.2">
      <c r="A209"/>
      <c r="B209"/>
      <c r="C209"/>
      <c r="D209"/>
      <c r="E209" s="7"/>
      <c r="F209"/>
      <c r="G209"/>
      <c r="H209" s="10"/>
      <c r="I209" s="57"/>
      <c r="J209" s="10"/>
      <c r="K209" s="27"/>
      <c r="M209" s="51"/>
    </row>
    <row r="210" spans="1:13" x14ac:dyDescent="0.2">
      <c r="A210"/>
      <c r="B210"/>
      <c r="C210"/>
      <c r="D210"/>
      <c r="E210" s="7"/>
      <c r="F210"/>
      <c r="G210"/>
      <c r="H210" s="10"/>
      <c r="I210" s="57"/>
      <c r="J210" s="10"/>
      <c r="K210" s="27"/>
      <c r="M210" s="51"/>
    </row>
    <row r="211" spans="1:13" x14ac:dyDescent="0.2">
      <c r="A211"/>
      <c r="B211"/>
      <c r="C211"/>
      <c r="D211"/>
      <c r="E211" s="7"/>
      <c r="F211"/>
      <c r="G211"/>
      <c r="H211" s="10"/>
      <c r="I211" s="57"/>
      <c r="J211" s="10"/>
      <c r="K211" s="27"/>
      <c r="M211" s="51"/>
    </row>
    <row r="212" spans="1:13" x14ac:dyDescent="0.2">
      <c r="A212"/>
      <c r="B212"/>
      <c r="C212"/>
      <c r="D212"/>
      <c r="E212" s="7"/>
      <c r="F212"/>
      <c r="G212"/>
      <c r="H212" s="10"/>
      <c r="I212" s="57"/>
      <c r="J212" s="10"/>
      <c r="K212" s="27"/>
      <c r="M212" s="51"/>
    </row>
    <row r="213" spans="1:13" x14ac:dyDescent="0.2">
      <c r="A213"/>
      <c r="B213"/>
      <c r="C213"/>
      <c r="D213"/>
      <c r="E213" s="7"/>
      <c r="F213"/>
      <c r="G213"/>
      <c r="H213" s="10"/>
      <c r="I213" s="57"/>
      <c r="J213" s="10"/>
      <c r="K213" s="27"/>
      <c r="M213" s="51"/>
    </row>
    <row r="214" spans="1:13" x14ac:dyDescent="0.2">
      <c r="A214"/>
      <c r="B214"/>
      <c r="C214"/>
      <c r="D214"/>
      <c r="E214" s="7"/>
      <c r="F214"/>
      <c r="G214"/>
      <c r="H214" s="10"/>
      <c r="I214" s="57"/>
      <c r="J214" s="10"/>
      <c r="K214" s="27"/>
      <c r="M214" s="51"/>
    </row>
    <row r="215" spans="1:13" x14ac:dyDescent="0.2">
      <c r="A215"/>
      <c r="B215"/>
      <c r="C215"/>
      <c r="D215"/>
      <c r="E215" s="7"/>
      <c r="F215"/>
      <c r="G215"/>
      <c r="H215" s="10"/>
      <c r="I215" s="57"/>
      <c r="J215" s="10"/>
      <c r="K215" s="27"/>
      <c r="M215" s="51"/>
    </row>
    <row r="216" spans="1:13" x14ac:dyDescent="0.2">
      <c r="A216"/>
      <c r="B216"/>
      <c r="C216"/>
      <c r="D216"/>
      <c r="E216" s="7"/>
      <c r="F216"/>
      <c r="G216"/>
      <c r="H216" s="10"/>
      <c r="I216" s="57"/>
      <c r="J216" s="10"/>
      <c r="K216" s="27"/>
      <c r="M216" s="51"/>
    </row>
    <row r="217" spans="1:13" x14ac:dyDescent="0.2">
      <c r="A217"/>
      <c r="B217"/>
      <c r="C217"/>
      <c r="D217"/>
      <c r="E217" s="7"/>
      <c r="F217"/>
      <c r="G217"/>
      <c r="H217" s="10"/>
      <c r="I217" s="57"/>
      <c r="J217" s="10"/>
      <c r="K217" s="27"/>
      <c r="M217" s="51"/>
    </row>
    <row r="218" spans="1:13" x14ac:dyDescent="0.2">
      <c r="A218"/>
      <c r="B218"/>
      <c r="C218"/>
      <c r="D218"/>
      <c r="E218" s="7"/>
      <c r="F218"/>
      <c r="G218"/>
      <c r="H218" s="10"/>
      <c r="I218" s="57"/>
      <c r="J218" s="10"/>
      <c r="K218" s="27"/>
      <c r="M218" s="51"/>
    </row>
    <row r="219" spans="1:13" x14ac:dyDescent="0.2">
      <c r="A219"/>
      <c r="B219"/>
      <c r="C219"/>
      <c r="D219"/>
      <c r="E219" s="7"/>
      <c r="F219"/>
      <c r="G219"/>
      <c r="H219" s="10"/>
      <c r="I219" s="57"/>
      <c r="J219" s="10"/>
      <c r="K219" s="27"/>
      <c r="M219" s="51"/>
    </row>
    <row r="220" spans="1:13" x14ac:dyDescent="0.2">
      <c r="A220"/>
      <c r="B220"/>
      <c r="C220"/>
      <c r="D220"/>
      <c r="E220" s="7"/>
      <c r="F220"/>
      <c r="G220"/>
      <c r="H220" s="10"/>
      <c r="I220" s="57"/>
      <c r="J220" s="10"/>
      <c r="K220" s="27"/>
      <c r="M220" s="51"/>
    </row>
    <row r="221" spans="1:13" x14ac:dyDescent="0.2">
      <c r="A221"/>
      <c r="B221"/>
      <c r="C221"/>
      <c r="D221"/>
      <c r="E221" s="7"/>
      <c r="F221"/>
      <c r="G221"/>
      <c r="H221" s="10"/>
      <c r="I221" s="57"/>
      <c r="J221" s="10"/>
      <c r="K221" s="27"/>
      <c r="M221" s="51"/>
    </row>
    <row r="222" spans="1:13" x14ac:dyDescent="0.2">
      <c r="A222"/>
      <c r="B222"/>
      <c r="C222"/>
      <c r="D222"/>
      <c r="E222" s="7"/>
      <c r="F222"/>
      <c r="G222"/>
      <c r="H222" s="10"/>
      <c r="I222" s="57"/>
      <c r="J222" s="10"/>
      <c r="K222" s="27"/>
      <c r="M222" s="51"/>
    </row>
    <row r="223" spans="1:13" x14ac:dyDescent="0.2">
      <c r="A223"/>
      <c r="B223"/>
      <c r="C223"/>
      <c r="D223"/>
      <c r="E223" s="7"/>
      <c r="F223"/>
      <c r="G223"/>
      <c r="H223" s="10"/>
      <c r="I223" s="57"/>
      <c r="J223" s="10"/>
      <c r="K223" s="27"/>
      <c r="M223" s="51"/>
    </row>
    <row r="224" spans="1:13" x14ac:dyDescent="0.2">
      <c r="A224"/>
      <c r="B224"/>
      <c r="C224"/>
      <c r="D224"/>
      <c r="E224" s="7"/>
      <c r="F224"/>
      <c r="G224"/>
      <c r="H224" s="10"/>
      <c r="I224" s="57"/>
      <c r="J224" s="10"/>
      <c r="K224" s="27"/>
      <c r="M224" s="51"/>
    </row>
    <row r="225" spans="1:13" x14ac:dyDescent="0.2">
      <c r="A225"/>
      <c r="B225"/>
      <c r="C225"/>
      <c r="D225"/>
      <c r="E225" s="7"/>
      <c r="F225"/>
      <c r="G225"/>
      <c r="H225" s="10"/>
      <c r="I225" s="57"/>
      <c r="J225" s="10"/>
      <c r="K225" s="27"/>
      <c r="M225" s="51"/>
    </row>
    <row r="226" spans="1:13" x14ac:dyDescent="0.2">
      <c r="A226"/>
      <c r="B226"/>
      <c r="C226"/>
      <c r="D226"/>
      <c r="E226" s="7"/>
      <c r="F226"/>
      <c r="G226"/>
      <c r="H226" s="10"/>
      <c r="I226" s="57"/>
      <c r="J226" s="10"/>
      <c r="K226" s="27"/>
      <c r="M226" s="51"/>
    </row>
    <row r="227" spans="1:13" x14ac:dyDescent="0.2">
      <c r="A227"/>
      <c r="B227"/>
      <c r="C227"/>
      <c r="D227"/>
      <c r="E227" s="7"/>
      <c r="F227"/>
      <c r="G227"/>
      <c r="H227" s="10"/>
      <c r="I227" s="57"/>
      <c r="J227" s="10"/>
      <c r="K227" s="27"/>
      <c r="M227" s="51"/>
    </row>
    <row r="228" spans="1:13" x14ac:dyDescent="0.2">
      <c r="A228"/>
      <c r="B228"/>
      <c r="C228"/>
      <c r="D228"/>
      <c r="E228" s="7"/>
      <c r="F228"/>
      <c r="G228"/>
      <c r="H228" s="10"/>
      <c r="I228" s="57"/>
      <c r="J228" s="10"/>
      <c r="K228" s="27"/>
      <c r="M228" s="51"/>
    </row>
    <row r="229" spans="1:13" x14ac:dyDescent="0.2">
      <c r="A229"/>
      <c r="B229"/>
      <c r="C229"/>
      <c r="D229"/>
      <c r="E229" s="7"/>
      <c r="F229"/>
      <c r="G229"/>
      <c r="H229" s="10"/>
      <c r="I229" s="57"/>
      <c r="J229" s="10"/>
      <c r="K229" s="27"/>
      <c r="M229" s="51"/>
    </row>
    <row r="230" spans="1:13" x14ac:dyDescent="0.2">
      <c r="A230"/>
      <c r="B230"/>
      <c r="C230"/>
      <c r="D230"/>
      <c r="E230" s="7"/>
      <c r="F230"/>
      <c r="G230"/>
      <c r="H230" s="10"/>
      <c r="I230" s="57"/>
      <c r="J230" s="10"/>
      <c r="K230" s="27"/>
      <c r="M230" s="51"/>
    </row>
    <row r="231" spans="1:13" x14ac:dyDescent="0.2">
      <c r="A231"/>
      <c r="B231"/>
      <c r="C231"/>
      <c r="D231"/>
      <c r="E231" s="7"/>
      <c r="F231"/>
      <c r="G231"/>
      <c r="H231" s="10"/>
      <c r="I231" s="57"/>
      <c r="J231" s="10"/>
      <c r="K231" s="27"/>
      <c r="M231" s="51"/>
    </row>
    <row r="232" spans="1:13" x14ac:dyDescent="0.2">
      <c r="A232"/>
      <c r="B232"/>
      <c r="C232"/>
      <c r="D232"/>
      <c r="E232" s="7"/>
      <c r="F232"/>
      <c r="G232"/>
      <c r="H232" s="10"/>
      <c r="I232" s="57"/>
      <c r="J232" s="10"/>
      <c r="K232" s="27"/>
      <c r="M232" s="51"/>
    </row>
    <row r="233" spans="1:13" x14ac:dyDescent="0.2">
      <c r="A233"/>
      <c r="B233"/>
      <c r="C233"/>
      <c r="D233"/>
      <c r="E233" s="7"/>
      <c r="F233"/>
      <c r="G233"/>
      <c r="H233" s="10"/>
      <c r="I233" s="57"/>
      <c r="J233" s="10"/>
      <c r="K233" s="27"/>
      <c r="M233" s="51"/>
    </row>
    <row r="234" spans="1:13" x14ac:dyDescent="0.2">
      <c r="A234"/>
      <c r="B234"/>
      <c r="C234"/>
      <c r="D234"/>
      <c r="E234" s="7"/>
      <c r="F234"/>
      <c r="G234"/>
      <c r="H234" s="10"/>
      <c r="I234" s="57"/>
      <c r="J234" s="10"/>
      <c r="K234" s="27"/>
      <c r="M234" s="51"/>
    </row>
    <row r="235" spans="1:13" x14ac:dyDescent="0.2">
      <c r="A235"/>
      <c r="B235"/>
      <c r="C235"/>
      <c r="D235"/>
      <c r="E235" s="7"/>
      <c r="F235"/>
      <c r="G235"/>
      <c r="H235" s="10"/>
      <c r="I235" s="57"/>
      <c r="J235" s="10"/>
      <c r="K235" s="27"/>
      <c r="M235" s="51"/>
    </row>
    <row r="236" spans="1:13" x14ac:dyDescent="0.2">
      <c r="A236"/>
      <c r="B236"/>
      <c r="C236"/>
      <c r="D236"/>
      <c r="E236" s="7"/>
      <c r="F236"/>
      <c r="G236"/>
      <c r="H236" s="10"/>
      <c r="I236" s="57"/>
      <c r="J236" s="10"/>
      <c r="K236" s="27"/>
      <c r="M236" s="51"/>
    </row>
    <row r="237" spans="1:13" x14ac:dyDescent="0.2">
      <c r="A237"/>
      <c r="B237"/>
      <c r="C237"/>
      <c r="D237"/>
      <c r="E237" s="7"/>
      <c r="F237"/>
      <c r="G237"/>
      <c r="H237" s="10"/>
      <c r="I237" s="57"/>
      <c r="J237" s="10"/>
      <c r="K237" s="27"/>
      <c r="M237" s="51"/>
    </row>
    <row r="238" spans="1:13" x14ac:dyDescent="0.2">
      <c r="A238"/>
      <c r="B238"/>
      <c r="C238"/>
      <c r="D238"/>
      <c r="E238" s="7"/>
      <c r="F238"/>
      <c r="G238"/>
      <c r="H238" s="10"/>
      <c r="I238" s="57"/>
      <c r="J238" s="10"/>
      <c r="K238" s="27"/>
      <c r="M238" s="51"/>
    </row>
    <row r="239" spans="1:13" x14ac:dyDescent="0.2">
      <c r="A239"/>
      <c r="B239"/>
      <c r="C239"/>
      <c r="D239"/>
      <c r="E239" s="7"/>
      <c r="F239"/>
      <c r="G239"/>
      <c r="H239" s="10"/>
      <c r="I239" s="57"/>
      <c r="J239" s="10"/>
      <c r="K239" s="27"/>
      <c r="M239" s="51"/>
    </row>
    <row r="240" spans="1:13" x14ac:dyDescent="0.2">
      <c r="A240"/>
      <c r="B240"/>
      <c r="C240"/>
      <c r="D240"/>
      <c r="E240" s="7"/>
      <c r="F240"/>
      <c r="G240"/>
      <c r="H240" s="10"/>
      <c r="I240" s="57"/>
      <c r="J240" s="10"/>
      <c r="K240" s="27"/>
      <c r="M240" s="51"/>
    </row>
  </sheetData>
  <autoFilter ref="A1:M240"/>
  <pageMargins left="0.75" right="0.75" top="1" bottom="1" header="0.5" footer="0.5"/>
  <pageSetup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240"/>
  <sheetViews>
    <sheetView zoomScale="120" zoomScaleNormal="120" workbookViewId="0">
      <pane ySplit="1" topLeftCell="A89" activePane="bottomLeft" state="frozen"/>
      <selection activeCell="L2" sqref="L2"/>
      <selection pane="bottomLeft" activeCell="A97" sqref="A97:XFD97"/>
    </sheetView>
  </sheetViews>
  <sheetFormatPr defaultColWidth="9.140625" defaultRowHeight="12.75" x14ac:dyDescent="0.2"/>
  <cols>
    <col min="1" max="1" width="10.140625" style="3" customWidth="1"/>
    <col min="2" max="2" width="25.7109375" style="3" customWidth="1"/>
    <col min="3" max="3" width="10.85546875" style="3" bestFit="1" customWidth="1"/>
    <col min="4" max="4" width="13.7109375" style="3" customWidth="1"/>
    <col min="5" max="5" width="11.42578125" style="8" customWidth="1"/>
    <col min="6" max="7" width="8" style="3" customWidth="1"/>
    <col min="8" max="8" width="8" style="11" customWidth="1"/>
    <col min="9" max="9" width="10.5703125" style="11" customWidth="1"/>
    <col min="10" max="10" width="15.28515625" style="11" customWidth="1"/>
    <col min="11" max="11" width="9.140625" style="11" customWidth="1"/>
    <col min="12" max="12" width="8" style="11" customWidth="1"/>
    <col min="13" max="13" width="116.28515625" style="82" customWidth="1"/>
    <col min="14" max="14" width="27.85546875" style="14" bestFit="1" customWidth="1"/>
    <col min="15" max="16384" width="9.140625" style="3"/>
  </cols>
  <sheetData>
    <row r="1" spans="1:14" s="1" customFormat="1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1" t="s">
        <v>5</v>
      </c>
      <c r="G1" s="1" t="s">
        <v>6</v>
      </c>
      <c r="H1" s="9" t="s">
        <v>7</v>
      </c>
      <c r="I1" s="30" t="s">
        <v>8</v>
      </c>
      <c r="J1" s="30" t="s">
        <v>9</v>
      </c>
      <c r="K1" s="16" t="s">
        <v>10</v>
      </c>
      <c r="L1" s="16" t="s">
        <v>11</v>
      </c>
      <c r="M1" s="1" t="s">
        <v>12</v>
      </c>
      <c r="N1" s="13"/>
    </row>
    <row r="2" spans="1:14" x14ac:dyDescent="0.2">
      <c r="A2" t="s">
        <v>72</v>
      </c>
      <c r="B2" t="s">
        <v>73</v>
      </c>
      <c r="C2" s="5">
        <v>43508</v>
      </c>
      <c r="D2" s="2" t="s">
        <v>15</v>
      </c>
      <c r="E2" s="7">
        <v>18619</v>
      </c>
      <c r="F2"/>
      <c r="G2"/>
      <c r="H2" s="10">
        <f>-0.34-4+0.115</f>
        <v>-4.2249999999999996</v>
      </c>
      <c r="I2" s="23">
        <f>100+45</f>
        <v>145</v>
      </c>
      <c r="J2" s="14">
        <v>144.19999999999999</v>
      </c>
      <c r="K2" s="24">
        <f>J2-I2</f>
        <v>-0.80000000000001137</v>
      </c>
      <c r="L2" s="24"/>
      <c r="M2" s="2" t="s">
        <v>16</v>
      </c>
      <c r="N2" s="3"/>
    </row>
    <row r="3" spans="1:14" x14ac:dyDescent="0.2">
      <c r="A3" t="s">
        <v>72</v>
      </c>
      <c r="B3" t="s">
        <v>73</v>
      </c>
      <c r="C3" s="5">
        <v>43508</v>
      </c>
      <c r="D3" s="2" t="s">
        <v>17</v>
      </c>
      <c r="E3" s="7">
        <v>29632</v>
      </c>
      <c r="F3"/>
      <c r="G3"/>
      <c r="H3" s="10">
        <f>1.45-2.96</f>
        <v>-1.51</v>
      </c>
      <c r="I3" s="10"/>
      <c r="J3" s="10"/>
      <c r="K3" s="10"/>
      <c r="L3" s="10"/>
      <c r="M3" s="51" t="s">
        <v>18</v>
      </c>
    </row>
    <row r="4" spans="1:14" x14ac:dyDescent="0.2">
      <c r="A4" t="s">
        <v>72</v>
      </c>
      <c r="B4" t="s">
        <v>73</v>
      </c>
      <c r="C4" s="5">
        <v>43508</v>
      </c>
      <c r="D4" s="2" t="s">
        <v>19</v>
      </c>
      <c r="E4" s="12">
        <v>2103</v>
      </c>
      <c r="F4"/>
      <c r="G4"/>
      <c r="H4" s="10"/>
      <c r="I4" s="10"/>
      <c r="J4" s="10"/>
      <c r="K4" s="10"/>
      <c r="L4" s="10"/>
      <c r="M4" s="51"/>
    </row>
    <row r="5" spans="1:14" x14ac:dyDescent="0.2">
      <c r="A5" t="s">
        <v>72</v>
      </c>
      <c r="B5" t="s">
        <v>73</v>
      </c>
      <c r="C5" s="5">
        <v>43508</v>
      </c>
      <c r="D5" s="2" t="s">
        <v>20</v>
      </c>
      <c r="E5" s="12"/>
      <c r="F5"/>
      <c r="G5"/>
      <c r="H5" s="10">
        <v>-0.34</v>
      </c>
      <c r="I5" s="10"/>
      <c r="J5" s="10"/>
      <c r="K5" s="10"/>
      <c r="L5" s="10"/>
      <c r="M5" s="51"/>
    </row>
    <row r="6" spans="1:14" x14ac:dyDescent="0.2">
      <c r="A6" t="s">
        <v>72</v>
      </c>
      <c r="B6" t="s">
        <v>73</v>
      </c>
      <c r="C6" s="5">
        <v>43508</v>
      </c>
      <c r="D6" s="2" t="s">
        <v>21</v>
      </c>
      <c r="E6" s="12"/>
      <c r="F6">
        <v>153432</v>
      </c>
      <c r="G6">
        <v>512885</v>
      </c>
      <c r="H6" s="10">
        <v>2.48</v>
      </c>
      <c r="I6" s="10"/>
      <c r="J6" s="10"/>
      <c r="K6" s="10"/>
      <c r="L6" s="10"/>
      <c r="M6" s="51"/>
    </row>
    <row r="7" spans="1:14" x14ac:dyDescent="0.2">
      <c r="A7" t="s">
        <v>72</v>
      </c>
      <c r="B7" t="s">
        <v>73</v>
      </c>
      <c r="C7" s="5">
        <v>43521</v>
      </c>
      <c r="D7" s="41" t="s">
        <v>21</v>
      </c>
      <c r="E7" s="7"/>
      <c r="F7">
        <v>153432</v>
      </c>
      <c r="G7">
        <v>512885</v>
      </c>
      <c r="H7" s="10">
        <v>2.35</v>
      </c>
      <c r="I7" s="10"/>
      <c r="J7" s="10"/>
      <c r="K7" s="10"/>
      <c r="L7" s="10"/>
      <c r="M7" s="81" t="s">
        <v>74</v>
      </c>
    </row>
    <row r="8" spans="1:14" x14ac:dyDescent="0.2">
      <c r="A8" t="s">
        <v>72</v>
      </c>
      <c r="B8" t="s">
        <v>73</v>
      </c>
      <c r="C8" s="5">
        <v>43521</v>
      </c>
      <c r="D8" s="41" t="s">
        <v>23</v>
      </c>
      <c r="E8" s="7"/>
      <c r="F8"/>
      <c r="G8"/>
      <c r="H8" s="10">
        <v>-4.29</v>
      </c>
      <c r="I8" s="10"/>
      <c r="J8" s="10"/>
      <c r="K8" s="10"/>
      <c r="L8" s="10"/>
      <c r="M8" s="51" t="s">
        <v>75</v>
      </c>
    </row>
    <row r="9" spans="1:14" x14ac:dyDescent="0.2">
      <c r="A9" t="s">
        <v>72</v>
      </c>
      <c r="B9" t="s">
        <v>73</v>
      </c>
      <c r="C9" s="5">
        <v>43543</v>
      </c>
      <c r="D9" s="3" t="s">
        <v>17</v>
      </c>
      <c r="E9" s="7">
        <v>29632</v>
      </c>
      <c r="F9"/>
      <c r="G9"/>
      <c r="H9" s="10">
        <f>1.45-2.967</f>
        <v>-1.5170000000000001</v>
      </c>
      <c r="I9" s="10"/>
      <c r="J9" s="10"/>
      <c r="K9" s="10"/>
      <c r="L9" s="10"/>
      <c r="M9" s="85" t="s">
        <v>26</v>
      </c>
    </row>
    <row r="10" spans="1:14" x14ac:dyDescent="0.2">
      <c r="A10" t="s">
        <v>72</v>
      </c>
      <c r="B10" t="s">
        <v>73</v>
      </c>
      <c r="C10" s="40">
        <v>43550</v>
      </c>
      <c r="D10" s="41" t="s">
        <v>23</v>
      </c>
      <c r="E10" s="42"/>
      <c r="F10" s="20"/>
      <c r="G10" s="20"/>
      <c r="H10" s="19">
        <v>-4.2941000000000003</v>
      </c>
      <c r="I10" s="10"/>
      <c r="J10" s="10"/>
      <c r="K10" s="10"/>
      <c r="L10" s="10"/>
      <c r="M10" s="51"/>
    </row>
    <row r="11" spans="1:14" x14ac:dyDescent="0.2">
      <c r="A11" t="s">
        <v>72</v>
      </c>
      <c r="B11" t="s">
        <v>73</v>
      </c>
      <c r="C11" s="40">
        <v>43550</v>
      </c>
      <c r="D11" s="41" t="s">
        <v>15</v>
      </c>
      <c r="E11" s="7">
        <v>18619</v>
      </c>
      <c r="F11" s="20"/>
      <c r="G11" s="20"/>
      <c r="H11" s="19">
        <f>-4.2941+0.181</f>
        <v>-4.1131000000000002</v>
      </c>
      <c r="I11" s="23">
        <f>100+45</f>
        <v>145</v>
      </c>
      <c r="J11" s="14">
        <v>144.19999999999999</v>
      </c>
      <c r="K11" s="24">
        <f>J11-I11</f>
        <v>-0.80000000000001137</v>
      </c>
      <c r="L11" s="10"/>
      <c r="M11" s="51"/>
    </row>
    <row r="12" spans="1:14" x14ac:dyDescent="0.2">
      <c r="A12" t="s">
        <v>72</v>
      </c>
      <c r="B12" t="s">
        <v>73</v>
      </c>
      <c r="C12" s="40">
        <v>43550</v>
      </c>
      <c r="D12" s="41" t="s">
        <v>21</v>
      </c>
      <c r="E12" s="42"/>
      <c r="F12">
        <v>153432</v>
      </c>
      <c r="G12">
        <v>512885</v>
      </c>
      <c r="H12" s="19">
        <v>2.3611</v>
      </c>
      <c r="I12" s="10"/>
      <c r="J12" s="10"/>
      <c r="K12" s="10"/>
      <c r="L12" s="10"/>
      <c r="M12" s="51" t="s">
        <v>76</v>
      </c>
    </row>
    <row r="13" spans="1:14" x14ac:dyDescent="0.2">
      <c r="A13" t="s">
        <v>72</v>
      </c>
      <c r="B13" t="s">
        <v>73</v>
      </c>
      <c r="C13" s="40">
        <v>43550</v>
      </c>
      <c r="D13" s="41" t="s">
        <v>17</v>
      </c>
      <c r="E13" s="7">
        <v>29632</v>
      </c>
      <c r="F13" s="20"/>
      <c r="G13" s="20"/>
      <c r="H13" s="19">
        <f>1.3985-2.967</f>
        <v>-1.5685</v>
      </c>
      <c r="I13" s="10"/>
      <c r="J13" s="10"/>
      <c r="K13" s="10"/>
      <c r="L13" s="10"/>
      <c r="M13" s="51"/>
    </row>
    <row r="14" spans="1:14" x14ac:dyDescent="0.2">
      <c r="A14" t="s">
        <v>72</v>
      </c>
      <c r="B14" t="s">
        <v>73</v>
      </c>
      <c r="C14" s="40">
        <v>43571</v>
      </c>
      <c r="D14" s="41" t="s">
        <v>23</v>
      </c>
      <c r="E14" s="42"/>
      <c r="F14" s="20"/>
      <c r="G14" s="20"/>
      <c r="H14" s="19">
        <f>-1.3876-2.95</f>
        <v>-4.3376000000000001</v>
      </c>
      <c r="I14" s="10"/>
      <c r="J14" s="10"/>
      <c r="K14" s="10"/>
      <c r="L14" s="10"/>
      <c r="M14" s="51"/>
    </row>
    <row r="15" spans="1:14" x14ac:dyDescent="0.2">
      <c r="A15" t="s">
        <v>72</v>
      </c>
      <c r="B15" t="s">
        <v>73</v>
      </c>
      <c r="C15" s="40">
        <v>43571</v>
      </c>
      <c r="D15" s="41" t="s">
        <v>15</v>
      </c>
      <c r="E15" s="7">
        <v>18619</v>
      </c>
      <c r="F15" s="20"/>
      <c r="G15" s="20"/>
      <c r="H15" s="19">
        <f>H14+0.181</f>
        <v>-4.1566000000000001</v>
      </c>
      <c r="I15" s="23">
        <f>100+45</f>
        <v>145</v>
      </c>
      <c r="J15" s="14">
        <v>144.19999999999999</v>
      </c>
      <c r="K15" s="24">
        <f>J15-I15</f>
        <v>-0.80000000000001137</v>
      </c>
      <c r="L15" s="10"/>
      <c r="M15" s="51"/>
    </row>
    <row r="16" spans="1:14" x14ac:dyDescent="0.2">
      <c r="A16" t="s">
        <v>72</v>
      </c>
      <c r="B16" t="s">
        <v>73</v>
      </c>
      <c r="C16" s="40">
        <v>43571</v>
      </c>
      <c r="D16" s="41" t="s">
        <v>21</v>
      </c>
      <c r="E16" s="42"/>
      <c r="F16">
        <v>153432</v>
      </c>
      <c r="G16">
        <v>512885</v>
      </c>
      <c r="H16" s="19">
        <v>2.3506999999999998</v>
      </c>
      <c r="I16" s="10"/>
      <c r="J16" s="10"/>
      <c r="K16" s="10"/>
      <c r="L16" s="10"/>
      <c r="M16" s="51"/>
    </row>
    <row r="17" spans="1:13" x14ac:dyDescent="0.2">
      <c r="A17" t="s">
        <v>72</v>
      </c>
      <c r="B17" t="s">
        <v>73</v>
      </c>
      <c r="C17" s="40">
        <v>43571</v>
      </c>
      <c r="D17" s="41" t="s">
        <v>17</v>
      </c>
      <c r="E17" s="7">
        <v>29632</v>
      </c>
      <c r="F17" s="20"/>
      <c r="G17" s="20"/>
      <c r="H17" s="19">
        <f>1.4691-2.967</f>
        <v>-1.4979</v>
      </c>
      <c r="I17" s="10"/>
      <c r="J17" s="10"/>
      <c r="K17" s="10"/>
      <c r="L17" s="10"/>
      <c r="M17" s="51"/>
    </row>
    <row r="18" spans="1:13" x14ac:dyDescent="0.2">
      <c r="A18" t="s">
        <v>72</v>
      </c>
      <c r="B18" t="s">
        <v>73</v>
      </c>
      <c r="C18" s="40">
        <v>43578</v>
      </c>
      <c r="D18" s="41" t="s">
        <v>23</v>
      </c>
      <c r="E18" s="42"/>
      <c r="F18" s="20"/>
      <c r="G18" s="20"/>
      <c r="H18" s="19">
        <f>-4.3016</f>
        <v>-4.3015999999999996</v>
      </c>
      <c r="I18" s="10"/>
      <c r="J18" s="10"/>
      <c r="K18" s="10"/>
      <c r="L18" s="10"/>
      <c r="M18" s="51"/>
    </row>
    <row r="19" spans="1:13" x14ac:dyDescent="0.2">
      <c r="A19" t="s">
        <v>72</v>
      </c>
      <c r="B19" t="s">
        <v>73</v>
      </c>
      <c r="C19" s="40">
        <v>43578</v>
      </c>
      <c r="D19" s="41" t="s">
        <v>15</v>
      </c>
      <c r="E19" s="7">
        <v>18619</v>
      </c>
      <c r="F19" s="20"/>
      <c r="G19" s="20"/>
      <c r="H19" s="19">
        <f>H18+0.181</f>
        <v>-4.1205999999999996</v>
      </c>
      <c r="I19" s="23">
        <f>100+45</f>
        <v>145</v>
      </c>
      <c r="J19" s="14">
        <v>144.19999999999999</v>
      </c>
      <c r="K19" s="24">
        <f>J19-I19</f>
        <v>-0.80000000000001137</v>
      </c>
      <c r="L19" s="10"/>
      <c r="M19" s="51"/>
    </row>
    <row r="20" spans="1:13" x14ac:dyDescent="0.2">
      <c r="A20" t="s">
        <v>72</v>
      </c>
      <c r="B20" t="s">
        <v>73</v>
      </c>
      <c r="C20" s="40">
        <v>43578</v>
      </c>
      <c r="D20" s="41" t="s">
        <v>21</v>
      </c>
      <c r="E20" s="42"/>
      <c r="F20">
        <v>153432</v>
      </c>
      <c r="G20">
        <v>512885</v>
      </c>
      <c r="H20" s="19">
        <v>2.3525999999999998</v>
      </c>
      <c r="I20" s="10"/>
      <c r="J20" s="10"/>
      <c r="K20" s="10"/>
      <c r="L20" s="10"/>
      <c r="M20" s="51"/>
    </row>
    <row r="21" spans="1:13" x14ac:dyDescent="0.2">
      <c r="A21" t="s">
        <v>72</v>
      </c>
      <c r="B21" t="s">
        <v>73</v>
      </c>
      <c r="C21" s="40">
        <v>43578</v>
      </c>
      <c r="D21" s="41" t="s">
        <v>17</v>
      </c>
      <c r="E21" s="7">
        <v>29632</v>
      </c>
      <c r="F21" s="20"/>
      <c r="G21" s="20"/>
      <c r="H21" s="19">
        <f>1.457-2.967</f>
        <v>-1.51</v>
      </c>
      <c r="I21" s="10"/>
      <c r="J21" s="10"/>
      <c r="K21" s="10"/>
      <c r="L21" s="10"/>
      <c r="M21" s="51"/>
    </row>
    <row r="22" spans="1:13" x14ac:dyDescent="0.2">
      <c r="A22" t="s">
        <v>72</v>
      </c>
      <c r="B22" t="s">
        <v>73</v>
      </c>
      <c r="C22" s="40">
        <v>43605</v>
      </c>
      <c r="D22" s="41" t="s">
        <v>23</v>
      </c>
      <c r="E22" s="42"/>
      <c r="F22" s="20"/>
      <c r="G22" s="20"/>
      <c r="H22" s="19">
        <f>-4.3381</f>
        <v>-4.3380999999999998</v>
      </c>
      <c r="I22" s="10"/>
      <c r="J22" s="10"/>
      <c r="K22" s="10"/>
      <c r="L22" s="10"/>
      <c r="M22" s="51"/>
    </row>
    <row r="23" spans="1:13" x14ac:dyDescent="0.2">
      <c r="A23" t="s">
        <v>72</v>
      </c>
      <c r="B23" t="s">
        <v>73</v>
      </c>
      <c r="C23" s="40">
        <v>43605</v>
      </c>
      <c r="D23" s="41" t="s">
        <v>15</v>
      </c>
      <c r="E23" s="7">
        <v>18619</v>
      </c>
      <c r="F23" s="20"/>
      <c r="G23" s="20"/>
      <c r="H23" s="19">
        <f>H22+0.181</f>
        <v>-4.1570999999999998</v>
      </c>
      <c r="I23" s="23">
        <f>100+45</f>
        <v>145</v>
      </c>
      <c r="J23" s="14">
        <v>144.19999999999999</v>
      </c>
      <c r="K23" s="24">
        <f>J23-I23</f>
        <v>-0.80000000000001137</v>
      </c>
      <c r="L23" s="10"/>
      <c r="M23" s="51"/>
    </row>
    <row r="24" spans="1:13" x14ac:dyDescent="0.2">
      <c r="A24" t="s">
        <v>72</v>
      </c>
      <c r="B24" t="s">
        <v>73</v>
      </c>
      <c r="C24" s="40">
        <v>43605</v>
      </c>
      <c r="D24" s="41" t="s">
        <v>21</v>
      </c>
      <c r="E24" s="42"/>
      <c r="F24">
        <v>153432</v>
      </c>
      <c r="G24">
        <v>512885</v>
      </c>
      <c r="H24" s="19">
        <v>2.3130999999999999</v>
      </c>
      <c r="I24" s="10"/>
      <c r="J24" s="10"/>
      <c r="K24" s="10"/>
      <c r="L24" s="10"/>
      <c r="M24" s="51"/>
    </row>
    <row r="25" spans="1:13" x14ac:dyDescent="0.2">
      <c r="A25" t="s">
        <v>72</v>
      </c>
      <c r="B25" t="s">
        <v>73</v>
      </c>
      <c r="C25" s="40">
        <v>43605</v>
      </c>
      <c r="D25" s="41" t="s">
        <v>17</v>
      </c>
      <c r="E25" s="7">
        <v>29632</v>
      </c>
      <c r="F25" s="20"/>
      <c r="G25" s="20"/>
      <c r="H25" s="19">
        <f>1.4325-2.967</f>
        <v>-1.5345</v>
      </c>
      <c r="I25" s="10"/>
      <c r="J25" s="10"/>
      <c r="K25" s="10"/>
      <c r="L25" s="10"/>
      <c r="M25" s="51" t="s">
        <v>29</v>
      </c>
    </row>
    <row r="26" spans="1:13" x14ac:dyDescent="0.2">
      <c r="A26" t="s">
        <v>72</v>
      </c>
      <c r="B26" t="s">
        <v>73</v>
      </c>
      <c r="C26" s="40">
        <v>43633</v>
      </c>
      <c r="D26" s="41" t="s">
        <v>23</v>
      </c>
      <c r="E26" s="42"/>
      <c r="F26" s="20"/>
      <c r="G26" s="20"/>
      <c r="H26" s="19">
        <f>-4.3381</f>
        <v>-4.3380999999999998</v>
      </c>
      <c r="I26" s="10"/>
      <c r="J26" s="10"/>
      <c r="K26" s="10"/>
      <c r="L26" s="10"/>
      <c r="M26" s="45">
        <f>-4.323</f>
        <v>-4.3230000000000004</v>
      </c>
    </row>
    <row r="27" spans="1:13" x14ac:dyDescent="0.2">
      <c r="A27" t="s">
        <v>72</v>
      </c>
      <c r="B27" t="s">
        <v>73</v>
      </c>
      <c r="C27" s="40">
        <v>43633</v>
      </c>
      <c r="D27" s="41" t="s">
        <v>15</v>
      </c>
      <c r="E27" s="7">
        <v>18619</v>
      </c>
      <c r="F27" s="20"/>
      <c r="G27" s="20"/>
      <c r="H27" s="19">
        <f>H26+0.181</f>
        <v>-4.1570999999999998</v>
      </c>
      <c r="I27" s="23">
        <f>100+45</f>
        <v>145</v>
      </c>
      <c r="J27" s="14">
        <v>144.19999999999999</v>
      </c>
      <c r="K27" s="24">
        <f>J27-I27</f>
        <v>-0.80000000000001137</v>
      </c>
      <c r="L27" s="10"/>
      <c r="M27" s="45">
        <f>M26+0.181</f>
        <v>-4.1420000000000003</v>
      </c>
    </row>
    <row r="28" spans="1:13" x14ac:dyDescent="0.2">
      <c r="A28" t="s">
        <v>72</v>
      </c>
      <c r="B28" t="s">
        <v>73</v>
      </c>
      <c r="C28" s="40">
        <v>43633</v>
      </c>
      <c r="D28" s="41" t="s">
        <v>21</v>
      </c>
      <c r="E28" s="42"/>
      <c r="F28">
        <v>153432</v>
      </c>
      <c r="G28">
        <v>512885</v>
      </c>
      <c r="H28" s="19">
        <v>2.3130999999999999</v>
      </c>
      <c r="I28" s="10"/>
      <c r="J28" s="10"/>
      <c r="K28" s="10"/>
      <c r="L28" s="10"/>
      <c r="M28" s="45">
        <v>2.3170999999999999</v>
      </c>
    </row>
    <row r="29" spans="1:13" x14ac:dyDescent="0.2">
      <c r="A29" t="s">
        <v>72</v>
      </c>
      <c r="B29" t="s">
        <v>73</v>
      </c>
      <c r="C29" s="40">
        <v>43633</v>
      </c>
      <c r="D29" s="41" t="s">
        <v>17</v>
      </c>
      <c r="E29" s="7">
        <v>29632</v>
      </c>
      <c r="F29" s="20"/>
      <c r="G29" s="20"/>
      <c r="H29" s="19">
        <f>1.4325-2.967</f>
        <v>-1.5345</v>
      </c>
      <c r="I29" s="10"/>
      <c r="J29" s="10"/>
      <c r="K29" s="10"/>
      <c r="L29" s="10"/>
      <c r="M29" s="45">
        <f>1.4291-2.967</f>
        <v>-1.5379</v>
      </c>
    </row>
    <row r="30" spans="1:13" x14ac:dyDescent="0.2">
      <c r="A30" t="s">
        <v>72</v>
      </c>
      <c r="B30" t="s">
        <v>73</v>
      </c>
      <c r="C30" s="40">
        <v>43662</v>
      </c>
      <c r="D30" s="41" t="s">
        <v>23</v>
      </c>
      <c r="E30" s="42"/>
      <c r="F30" s="20"/>
      <c r="G30" s="20"/>
      <c r="H30" s="19">
        <f>-4.2856</f>
        <v>-4.2855999999999996</v>
      </c>
      <c r="I30" s="10"/>
      <c r="J30" s="10"/>
      <c r="K30" s="10"/>
      <c r="L30" s="10"/>
      <c r="M30" s="45">
        <f>-4.2856</f>
        <v>-4.2855999999999996</v>
      </c>
    </row>
    <row r="31" spans="1:13" x14ac:dyDescent="0.2">
      <c r="A31" t="s">
        <v>72</v>
      </c>
      <c r="B31" t="s">
        <v>73</v>
      </c>
      <c r="C31" s="40">
        <v>43662</v>
      </c>
      <c r="D31" s="41" t="s">
        <v>15</v>
      </c>
      <c r="E31" s="7">
        <v>18619</v>
      </c>
      <c r="F31" s="20"/>
      <c r="G31" s="20"/>
      <c r="H31" s="19">
        <f>H30+0.181</f>
        <v>-4.1045999999999996</v>
      </c>
      <c r="I31" s="23">
        <f>100+45</f>
        <v>145</v>
      </c>
      <c r="J31" s="14">
        <v>144.19999999999999</v>
      </c>
      <c r="K31" s="24">
        <f>J31-I31</f>
        <v>-0.80000000000001137</v>
      </c>
      <c r="L31" s="10"/>
      <c r="M31" s="45">
        <f>M30+0.181</f>
        <v>-4.1045999999999996</v>
      </c>
    </row>
    <row r="32" spans="1:13" x14ac:dyDescent="0.2">
      <c r="A32" t="s">
        <v>72</v>
      </c>
      <c r="B32" t="s">
        <v>73</v>
      </c>
      <c r="C32" s="40">
        <v>43662</v>
      </c>
      <c r="D32" s="41" t="s">
        <v>21</v>
      </c>
      <c r="E32" s="42"/>
      <c r="F32">
        <v>153432</v>
      </c>
      <c r="G32">
        <v>512885</v>
      </c>
      <c r="H32" s="19">
        <v>2.3523000000000001</v>
      </c>
      <c r="I32" s="10"/>
      <c r="J32" s="10"/>
      <c r="K32" s="10"/>
      <c r="L32" s="10"/>
      <c r="M32" s="45">
        <v>2.3523000000000001</v>
      </c>
    </row>
    <row r="33" spans="1:14" s="4" customFormat="1" x14ac:dyDescent="0.2">
      <c r="A33" t="s">
        <v>72</v>
      </c>
      <c r="B33" t="s">
        <v>73</v>
      </c>
      <c r="C33" s="40">
        <v>43662</v>
      </c>
      <c r="D33" s="41" t="s">
        <v>17</v>
      </c>
      <c r="E33" s="7">
        <v>29632</v>
      </c>
      <c r="F33" s="20"/>
      <c r="G33" s="20"/>
      <c r="H33" s="19">
        <f>1.4693-2.967</f>
        <v>-1.4977</v>
      </c>
      <c r="I33" s="10"/>
      <c r="J33" s="10"/>
      <c r="K33" s="10"/>
      <c r="L33" s="10"/>
      <c r="M33" s="45">
        <f>1.4693-2.967</f>
        <v>-1.4977</v>
      </c>
      <c r="N33" s="15"/>
    </row>
    <row r="34" spans="1:14" x14ac:dyDescent="0.2">
      <c r="A34" t="s">
        <v>72</v>
      </c>
      <c r="B34" t="s">
        <v>73</v>
      </c>
      <c r="C34" s="40">
        <v>43691</v>
      </c>
      <c r="D34" s="41" t="s">
        <v>23</v>
      </c>
      <c r="E34" s="42"/>
      <c r="F34" s="20"/>
      <c r="G34" s="20"/>
      <c r="H34" s="19">
        <v>-4.3499999999999996</v>
      </c>
      <c r="I34" s="10"/>
      <c r="J34" s="10"/>
      <c r="K34" s="10"/>
      <c r="L34" s="10"/>
      <c r="M34" s="50" t="s">
        <v>77</v>
      </c>
    </row>
    <row r="35" spans="1:14" x14ac:dyDescent="0.2">
      <c r="A35" t="s">
        <v>72</v>
      </c>
      <c r="B35" t="s">
        <v>73</v>
      </c>
      <c r="C35" s="40">
        <v>43691</v>
      </c>
      <c r="D35" s="41" t="s">
        <v>15</v>
      </c>
      <c r="E35" s="7">
        <v>18619</v>
      </c>
      <c r="F35" s="20"/>
      <c r="G35" s="20"/>
      <c r="H35" s="19">
        <f>H34+0.181</f>
        <v>-4.1689999999999996</v>
      </c>
      <c r="I35" s="23">
        <f>100+45</f>
        <v>145</v>
      </c>
      <c r="J35" s="14">
        <v>144.19999999999999</v>
      </c>
      <c r="K35" s="24">
        <f>J35-I35</f>
        <v>-0.80000000000001137</v>
      </c>
      <c r="L35" s="10"/>
      <c r="M35" s="50" t="s">
        <v>77</v>
      </c>
    </row>
    <row r="36" spans="1:14" x14ac:dyDescent="0.2">
      <c r="A36" t="s">
        <v>72</v>
      </c>
      <c r="B36" t="s">
        <v>73</v>
      </c>
      <c r="C36" s="40">
        <v>43691</v>
      </c>
      <c r="D36" s="41" t="s">
        <v>21</v>
      </c>
      <c r="E36" s="42"/>
      <c r="F36">
        <v>153432</v>
      </c>
      <c r="G36">
        <v>512885</v>
      </c>
      <c r="H36" s="19">
        <v>2.3340000000000001</v>
      </c>
      <c r="I36" s="10"/>
      <c r="J36" s="10"/>
      <c r="K36" s="10"/>
      <c r="L36" s="10"/>
      <c r="M36" s="45">
        <v>2.3523000000000001</v>
      </c>
    </row>
    <row r="37" spans="1:14" s="4" customFormat="1" x14ac:dyDescent="0.2">
      <c r="A37" t="s">
        <v>72</v>
      </c>
      <c r="B37" t="s">
        <v>73</v>
      </c>
      <c r="C37" s="40">
        <v>43691</v>
      </c>
      <c r="D37" s="41" t="s">
        <v>17</v>
      </c>
      <c r="E37" s="7">
        <v>29632</v>
      </c>
      <c r="F37" s="20"/>
      <c r="G37" s="20"/>
      <c r="H37" s="19">
        <f>1.4541-2.967</f>
        <v>-1.5129000000000001</v>
      </c>
      <c r="I37" s="10"/>
      <c r="J37" s="10"/>
      <c r="K37" s="10"/>
      <c r="L37" s="10"/>
      <c r="M37" s="52" t="s">
        <v>78</v>
      </c>
      <c r="N37" s="15"/>
    </row>
    <row r="38" spans="1:14" x14ac:dyDescent="0.2">
      <c r="A38" t="s">
        <v>72</v>
      </c>
      <c r="B38" t="s">
        <v>73</v>
      </c>
      <c r="C38" s="40">
        <v>43718</v>
      </c>
      <c r="D38" s="41" t="s">
        <v>23</v>
      </c>
      <c r="E38" s="42"/>
      <c r="F38" s="20"/>
      <c r="G38" s="20"/>
      <c r="H38" s="19">
        <v>-4.3499999999999996</v>
      </c>
      <c r="I38" s="10"/>
      <c r="J38" s="10"/>
      <c r="K38" s="10"/>
      <c r="L38" s="10"/>
      <c r="M38" s="51"/>
    </row>
    <row r="39" spans="1:14" x14ac:dyDescent="0.2">
      <c r="A39" t="s">
        <v>72</v>
      </c>
      <c r="B39" t="s">
        <v>73</v>
      </c>
      <c r="C39" s="40">
        <v>43718</v>
      </c>
      <c r="D39" s="41" t="s">
        <v>15</v>
      </c>
      <c r="E39" s="7">
        <v>18619</v>
      </c>
      <c r="F39" s="20"/>
      <c r="G39" s="20"/>
      <c r="H39" s="19">
        <f>H38+0.181</f>
        <v>-4.1689999999999996</v>
      </c>
      <c r="I39" s="23">
        <f>100+45</f>
        <v>145</v>
      </c>
      <c r="J39" s="14">
        <v>144.19999999999999</v>
      </c>
      <c r="K39" s="24">
        <f>J39-I39</f>
        <v>-0.80000000000001137</v>
      </c>
      <c r="L39" s="10"/>
      <c r="M39" s="51"/>
    </row>
    <row r="40" spans="1:14" x14ac:dyDescent="0.2">
      <c r="A40" t="s">
        <v>72</v>
      </c>
      <c r="B40" t="s">
        <v>73</v>
      </c>
      <c r="C40" s="40">
        <v>43718</v>
      </c>
      <c r="D40" s="41" t="s">
        <v>21</v>
      </c>
      <c r="E40" s="42"/>
      <c r="F40">
        <v>153432</v>
      </c>
      <c r="G40">
        <v>512885</v>
      </c>
      <c r="H40" s="19">
        <v>2.3321000000000001</v>
      </c>
      <c r="I40" s="10"/>
      <c r="J40" s="10"/>
      <c r="K40" s="10"/>
      <c r="L40" s="10"/>
      <c r="M40" s="51"/>
    </row>
    <row r="41" spans="1:14" x14ac:dyDescent="0.2">
      <c r="A41" t="s">
        <v>72</v>
      </c>
      <c r="B41" t="s">
        <v>73</v>
      </c>
      <c r="C41" s="40">
        <v>43718</v>
      </c>
      <c r="D41" s="41" t="s">
        <v>17</v>
      </c>
      <c r="E41" s="7">
        <v>29632</v>
      </c>
      <c r="F41" s="20"/>
      <c r="G41" s="20"/>
      <c r="H41" s="19">
        <f>1.4541-2.967</f>
        <v>-1.5129000000000001</v>
      </c>
      <c r="I41" s="10"/>
      <c r="J41" s="10"/>
      <c r="K41" s="10"/>
      <c r="L41" s="10"/>
      <c r="M41" s="83" t="s">
        <v>79</v>
      </c>
    </row>
    <row r="42" spans="1:14" x14ac:dyDescent="0.2">
      <c r="A42" t="s">
        <v>72</v>
      </c>
      <c r="B42" t="s">
        <v>73</v>
      </c>
      <c r="C42" s="40">
        <v>43745</v>
      </c>
      <c r="D42" s="41" t="s">
        <v>23</v>
      </c>
      <c r="E42" s="42"/>
      <c r="F42" s="20"/>
      <c r="G42" s="20"/>
      <c r="H42" s="19">
        <v>-4.3499999999999996</v>
      </c>
      <c r="I42" s="10"/>
      <c r="J42" s="10"/>
      <c r="K42" s="10"/>
      <c r="L42" s="10"/>
      <c r="M42" s="45">
        <v>-4.3799000000000001</v>
      </c>
    </row>
    <row r="43" spans="1:14" x14ac:dyDescent="0.2">
      <c r="A43" t="s">
        <v>72</v>
      </c>
      <c r="B43" t="s">
        <v>73</v>
      </c>
      <c r="C43" s="40">
        <v>43745</v>
      </c>
      <c r="D43" s="41" t="s">
        <v>15</v>
      </c>
      <c r="E43" s="7">
        <v>18619</v>
      </c>
      <c r="F43" s="20"/>
      <c r="G43" s="20"/>
      <c r="H43" s="19">
        <f>H42+0.181</f>
        <v>-4.1689999999999996</v>
      </c>
      <c r="I43" s="23">
        <f>100+45</f>
        <v>145</v>
      </c>
      <c r="J43" s="14">
        <v>144.19999999999999</v>
      </c>
      <c r="K43" s="24">
        <f>J43-I43</f>
        <v>-0.80000000000001137</v>
      </c>
      <c r="L43" s="10"/>
      <c r="M43" s="45">
        <f>M42+0.181</f>
        <v>-4.1989000000000001</v>
      </c>
    </row>
    <row r="44" spans="1:14" x14ac:dyDescent="0.2">
      <c r="A44" t="s">
        <v>72</v>
      </c>
      <c r="B44" t="s">
        <v>73</v>
      </c>
      <c r="C44" s="40">
        <v>43745</v>
      </c>
      <c r="D44" s="41" t="s">
        <v>21</v>
      </c>
      <c r="E44" s="42"/>
      <c r="F44">
        <v>153432</v>
      </c>
      <c r="G44">
        <v>512885</v>
      </c>
      <c r="H44" s="19">
        <v>2.3321000000000001</v>
      </c>
      <c r="I44" s="10"/>
      <c r="J44" s="10"/>
      <c r="K44" s="10"/>
      <c r="L44" s="10"/>
      <c r="M44" s="45">
        <v>2.3129</v>
      </c>
    </row>
    <row r="45" spans="1:14" x14ac:dyDescent="0.2">
      <c r="A45" t="s">
        <v>72</v>
      </c>
      <c r="B45" t="s">
        <v>73</v>
      </c>
      <c r="C45" s="40">
        <v>43745</v>
      </c>
      <c r="D45" s="41" t="s">
        <v>17</v>
      </c>
      <c r="E45" s="7">
        <v>29632</v>
      </c>
      <c r="F45" s="20"/>
      <c r="G45" s="20"/>
      <c r="H45" s="53">
        <f>1.3785-2.967</f>
        <v>-1.5885</v>
      </c>
      <c r="I45" s="10"/>
      <c r="J45" s="10"/>
      <c r="K45" s="10"/>
      <c r="L45" s="10"/>
      <c r="M45" s="45">
        <f>1.3785-2.967</f>
        <v>-1.5885</v>
      </c>
    </row>
    <row r="46" spans="1:14" x14ac:dyDescent="0.2">
      <c r="A46" t="s">
        <v>72</v>
      </c>
      <c r="B46" t="s">
        <v>73</v>
      </c>
      <c r="C46" s="40">
        <v>43774</v>
      </c>
      <c r="D46" s="41" t="s">
        <v>23</v>
      </c>
      <c r="E46" s="42"/>
      <c r="F46" s="20"/>
      <c r="G46" s="20"/>
      <c r="H46" s="19">
        <v>-4.3499999999999996</v>
      </c>
      <c r="I46" s="10"/>
      <c r="J46" s="10"/>
      <c r="K46" s="10"/>
      <c r="L46" s="10"/>
      <c r="M46" s="45">
        <v>-4.335</v>
      </c>
    </row>
    <row r="47" spans="1:14" x14ac:dyDescent="0.2">
      <c r="A47" t="s">
        <v>72</v>
      </c>
      <c r="B47" t="s">
        <v>73</v>
      </c>
      <c r="C47" s="40">
        <v>43774</v>
      </c>
      <c r="D47" s="41" t="s">
        <v>15</v>
      </c>
      <c r="E47" s="7">
        <v>18619</v>
      </c>
      <c r="F47" s="20"/>
      <c r="G47" s="20"/>
      <c r="H47" s="19">
        <f>H46+0.181</f>
        <v>-4.1689999999999996</v>
      </c>
      <c r="I47" s="23">
        <f>100+45</f>
        <v>145</v>
      </c>
      <c r="J47" s="14">
        <v>144.19999999999999</v>
      </c>
      <c r="K47" s="24">
        <f>J47-I47</f>
        <v>-0.80000000000001137</v>
      </c>
      <c r="L47" s="10"/>
      <c r="M47" s="45">
        <f>M46+0.181</f>
        <v>-4.1539999999999999</v>
      </c>
    </row>
    <row r="48" spans="1:14" x14ac:dyDescent="0.2">
      <c r="A48" t="s">
        <v>72</v>
      </c>
      <c r="B48" t="s">
        <v>73</v>
      </c>
      <c r="C48" s="40">
        <v>43774</v>
      </c>
      <c r="D48" s="41" t="s">
        <v>21</v>
      </c>
      <c r="E48" s="42"/>
      <c r="F48">
        <v>153432</v>
      </c>
      <c r="G48">
        <v>512885</v>
      </c>
      <c r="H48" s="19">
        <v>2.3321000000000001</v>
      </c>
      <c r="I48" s="10"/>
      <c r="J48" s="10"/>
      <c r="K48" s="10"/>
      <c r="L48" s="10"/>
      <c r="M48" s="45">
        <v>2.3462000000000001</v>
      </c>
    </row>
    <row r="49" spans="1:13" x14ac:dyDescent="0.2">
      <c r="A49" t="s">
        <v>72</v>
      </c>
      <c r="B49" t="s">
        <v>73</v>
      </c>
      <c r="C49" s="40">
        <v>43774</v>
      </c>
      <c r="D49" s="41" t="s">
        <v>17</v>
      </c>
      <c r="E49" s="7">
        <v>29632</v>
      </c>
      <c r="F49" s="20"/>
      <c r="G49" s="20"/>
      <c r="H49" s="53">
        <f>1.4317-2.967</f>
        <v>-1.5353000000000001</v>
      </c>
      <c r="I49" s="10"/>
      <c r="J49" s="10"/>
      <c r="K49" s="10"/>
      <c r="L49" s="10"/>
      <c r="M49" s="45">
        <f>1.4317-2.967</f>
        <v>-1.5353000000000001</v>
      </c>
    </row>
    <row r="50" spans="1:13" x14ac:dyDescent="0.2">
      <c r="A50" t="s">
        <v>72</v>
      </c>
      <c r="B50" t="s">
        <v>73</v>
      </c>
      <c r="C50" s="40">
        <v>43801</v>
      </c>
      <c r="D50" s="41" t="s">
        <v>23</v>
      </c>
      <c r="E50" s="42"/>
      <c r="F50" s="20"/>
      <c r="G50" s="20"/>
      <c r="H50" s="19">
        <v>-4.3499999999999996</v>
      </c>
      <c r="I50" s="10"/>
      <c r="J50" s="10"/>
      <c r="K50" s="10"/>
      <c r="L50" s="10"/>
      <c r="M50" s="51">
        <v>-4.3895</v>
      </c>
    </row>
    <row r="51" spans="1:13" x14ac:dyDescent="0.2">
      <c r="A51" t="s">
        <v>72</v>
      </c>
      <c r="B51" t="s">
        <v>73</v>
      </c>
      <c r="C51" s="40">
        <v>43801</v>
      </c>
      <c r="D51" s="41" t="s">
        <v>15</v>
      </c>
      <c r="E51" s="7">
        <v>18619</v>
      </c>
      <c r="F51" s="20"/>
      <c r="G51" s="20"/>
      <c r="H51" s="19">
        <f>H50+0.181</f>
        <v>-4.1689999999999996</v>
      </c>
      <c r="I51" s="23">
        <f>100+45</f>
        <v>145</v>
      </c>
      <c r="J51" s="14">
        <v>144.19999999999999</v>
      </c>
      <c r="K51" s="24">
        <f>J51-I51</f>
        <v>-0.80000000000001137</v>
      </c>
      <c r="L51" s="10"/>
      <c r="M51" s="45">
        <f>M50+0.181</f>
        <v>-4.2084999999999999</v>
      </c>
    </row>
    <row r="52" spans="1:13" x14ac:dyDescent="0.2">
      <c r="A52" t="s">
        <v>72</v>
      </c>
      <c r="B52" t="s">
        <v>73</v>
      </c>
      <c r="C52" s="40">
        <v>43801</v>
      </c>
      <c r="D52" s="41" t="s">
        <v>21</v>
      </c>
      <c r="E52" s="42"/>
      <c r="F52">
        <v>153432</v>
      </c>
      <c r="G52">
        <v>512885</v>
      </c>
      <c r="H52" s="19">
        <v>2.3321000000000001</v>
      </c>
      <c r="I52" s="10"/>
      <c r="J52" s="10"/>
      <c r="K52" s="10"/>
      <c r="L52" s="10"/>
      <c r="M52" s="51">
        <v>2.3249</v>
      </c>
    </row>
    <row r="53" spans="1:13" x14ac:dyDescent="0.2">
      <c r="A53" t="s">
        <v>72</v>
      </c>
      <c r="B53" t="s">
        <v>73</v>
      </c>
      <c r="C53" s="40">
        <v>43801</v>
      </c>
      <c r="D53" s="41" t="s">
        <v>17</v>
      </c>
      <c r="E53" s="7">
        <v>29632</v>
      </c>
      <c r="F53" s="20"/>
      <c r="G53" s="20"/>
      <c r="H53" s="53">
        <f>1.4317-2.967</f>
        <v>-1.5353000000000001</v>
      </c>
      <c r="I53" s="10"/>
      <c r="J53" s="10"/>
      <c r="K53" s="10"/>
      <c r="L53" s="10"/>
      <c r="M53" s="45">
        <f>1.4431-2.967</f>
        <v>-1.5239</v>
      </c>
    </row>
    <row r="54" spans="1:13" x14ac:dyDescent="0.2">
      <c r="A54" t="s">
        <v>72</v>
      </c>
      <c r="B54" t="s">
        <v>73</v>
      </c>
      <c r="C54" s="40">
        <v>43837</v>
      </c>
      <c r="D54" s="41" t="s">
        <v>23</v>
      </c>
      <c r="E54" s="42"/>
      <c r="F54" s="20"/>
      <c r="G54" s="20"/>
      <c r="H54" s="53">
        <v>-4.3932000000000002</v>
      </c>
      <c r="I54" s="10"/>
      <c r="J54" s="10"/>
      <c r="K54" s="10"/>
      <c r="L54" s="10"/>
      <c r="M54" s="51">
        <v>-4.3932000000000002</v>
      </c>
    </row>
    <row r="55" spans="1:13" x14ac:dyDescent="0.2">
      <c r="A55" t="s">
        <v>72</v>
      </c>
      <c r="B55" t="s">
        <v>73</v>
      </c>
      <c r="C55" s="40">
        <v>43837</v>
      </c>
      <c r="D55" s="41" t="s">
        <v>15</v>
      </c>
      <c r="E55" s="7">
        <v>18619</v>
      </c>
      <c r="F55" s="20"/>
      <c r="G55" s="20"/>
      <c r="H55" s="19">
        <v>-4.1689999999999996</v>
      </c>
      <c r="I55" s="23">
        <f>100+45</f>
        <v>145</v>
      </c>
      <c r="J55" s="14">
        <v>144.19999999999999</v>
      </c>
      <c r="K55" s="24">
        <f>J55-I55</f>
        <v>-0.80000000000001137</v>
      </c>
      <c r="L55" s="10"/>
      <c r="M55" s="50" t="s">
        <v>42</v>
      </c>
    </row>
    <row r="56" spans="1:13" x14ac:dyDescent="0.2">
      <c r="A56" t="s">
        <v>72</v>
      </c>
      <c r="B56" t="s">
        <v>73</v>
      </c>
      <c r="C56" s="40">
        <v>43837</v>
      </c>
      <c r="D56" s="41" t="s">
        <v>21</v>
      </c>
      <c r="E56" s="42"/>
      <c r="F56">
        <v>153432</v>
      </c>
      <c r="G56">
        <v>512885</v>
      </c>
      <c r="H56" s="19">
        <v>2.3064</v>
      </c>
      <c r="I56" s="10"/>
      <c r="J56" s="10"/>
      <c r="K56" s="10"/>
      <c r="L56" s="10"/>
      <c r="M56" s="51">
        <v>2.3064</v>
      </c>
    </row>
    <row r="57" spans="1:13" x14ac:dyDescent="0.2">
      <c r="A57" t="s">
        <v>72</v>
      </c>
      <c r="B57" t="s">
        <v>73</v>
      </c>
      <c r="C57" s="40">
        <v>43837</v>
      </c>
      <c r="D57" s="41" t="s">
        <v>17</v>
      </c>
      <c r="E57" s="7">
        <v>29632</v>
      </c>
      <c r="F57" s="20"/>
      <c r="G57" s="20"/>
      <c r="H57" s="53">
        <f>1.4317-2.967</f>
        <v>-1.5353000000000001</v>
      </c>
      <c r="I57" s="10"/>
      <c r="J57" s="10"/>
      <c r="K57" s="10"/>
      <c r="L57" s="10"/>
      <c r="M57" s="45">
        <f>1.393-2.967</f>
        <v>-1.5740000000000001</v>
      </c>
    </row>
    <row r="58" spans="1:13" x14ac:dyDescent="0.2">
      <c r="A58" t="s">
        <v>72</v>
      </c>
      <c r="B58" t="s">
        <v>73</v>
      </c>
      <c r="C58" s="40">
        <v>43915</v>
      </c>
      <c r="D58" s="41" t="s">
        <v>23</v>
      </c>
      <c r="E58" s="42"/>
      <c r="F58" s="20"/>
      <c r="G58" s="20"/>
      <c r="H58" s="53">
        <v>-4.3932000000000002</v>
      </c>
      <c r="I58" s="10"/>
      <c r="J58" s="10"/>
      <c r="K58" s="10"/>
      <c r="L58" s="10"/>
      <c r="M58" s="51" t="s">
        <v>80</v>
      </c>
    </row>
    <row r="59" spans="1:13" x14ac:dyDescent="0.2">
      <c r="A59" t="s">
        <v>72</v>
      </c>
      <c r="B59" t="s">
        <v>73</v>
      </c>
      <c r="C59" s="40">
        <v>43915</v>
      </c>
      <c r="D59" s="41" t="s">
        <v>15</v>
      </c>
      <c r="E59" s="7">
        <v>18619</v>
      </c>
      <c r="F59" s="20"/>
      <c r="G59" s="20"/>
      <c r="H59" s="19">
        <v>-4.1689999999999996</v>
      </c>
      <c r="I59" s="23">
        <f>100+45</f>
        <v>145</v>
      </c>
      <c r="J59" s="14">
        <v>144.19999999999999</v>
      </c>
      <c r="K59" s="24">
        <f>J59-I59</f>
        <v>-0.80000000000001137</v>
      </c>
      <c r="L59" s="10"/>
      <c r="M59" s="50" t="s">
        <v>42</v>
      </c>
    </row>
    <row r="60" spans="1:13" x14ac:dyDescent="0.2">
      <c r="A60" t="s">
        <v>72</v>
      </c>
      <c r="B60" t="s">
        <v>73</v>
      </c>
      <c r="C60" s="40">
        <v>43915</v>
      </c>
      <c r="D60" s="41" t="s">
        <v>21</v>
      </c>
      <c r="E60" s="42"/>
      <c r="F60">
        <v>153432</v>
      </c>
      <c r="G60">
        <v>512885</v>
      </c>
      <c r="H60" s="19">
        <v>2.3378000000000001</v>
      </c>
      <c r="I60" s="10"/>
      <c r="J60" s="10"/>
      <c r="K60" s="10"/>
      <c r="L60" s="10"/>
      <c r="M60" s="51">
        <v>2.3378000000000001</v>
      </c>
    </row>
    <row r="61" spans="1:13" x14ac:dyDescent="0.2">
      <c r="A61" t="s">
        <v>72</v>
      </c>
      <c r="B61" t="s">
        <v>73</v>
      </c>
      <c r="C61" s="40">
        <v>43915</v>
      </c>
      <c r="D61" s="41" t="s">
        <v>17</v>
      </c>
      <c r="E61" s="7">
        <v>29632</v>
      </c>
      <c r="F61" s="20"/>
      <c r="G61" s="20"/>
      <c r="H61" s="53">
        <f>1.4317-2.967</f>
        <v>-1.5353000000000001</v>
      </c>
      <c r="I61" s="10"/>
      <c r="J61" s="10"/>
      <c r="K61" s="10"/>
      <c r="L61" s="10"/>
      <c r="M61" s="45">
        <f>1.413-2.967</f>
        <v>-1.554</v>
      </c>
    </row>
    <row r="62" spans="1:13" x14ac:dyDescent="0.2">
      <c r="A62" t="s">
        <v>72</v>
      </c>
      <c r="B62" t="s">
        <v>73</v>
      </c>
      <c r="C62" s="40">
        <v>43941</v>
      </c>
      <c r="D62" s="41" t="s">
        <v>23</v>
      </c>
      <c r="E62" s="42"/>
      <c r="F62" s="20"/>
      <c r="G62" s="20"/>
      <c r="H62" s="53">
        <v>-4.3432000000000004</v>
      </c>
      <c r="I62" s="10"/>
      <c r="J62" s="10"/>
      <c r="K62" s="10"/>
      <c r="L62" s="10"/>
      <c r="M62" s="51">
        <v>-4.3432000000000004</v>
      </c>
    </row>
    <row r="63" spans="1:13" x14ac:dyDescent="0.2">
      <c r="A63" t="s">
        <v>72</v>
      </c>
      <c r="B63" t="s">
        <v>73</v>
      </c>
      <c r="C63" s="40">
        <v>43941</v>
      </c>
      <c r="D63" s="41" t="s">
        <v>15</v>
      </c>
      <c r="E63" s="7">
        <v>18619</v>
      </c>
      <c r="F63" s="20"/>
      <c r="G63" s="20"/>
      <c r="H63" s="19">
        <v>-4.1689999999999996</v>
      </c>
      <c r="I63" s="23">
        <f>100+45</f>
        <v>145</v>
      </c>
      <c r="J63" s="14">
        <v>144.19999999999999</v>
      </c>
      <c r="K63" s="24">
        <f>J63-I63</f>
        <v>-0.80000000000001137</v>
      </c>
      <c r="L63" s="10"/>
      <c r="M63" s="50" t="s">
        <v>42</v>
      </c>
    </row>
    <row r="64" spans="1:13" x14ac:dyDescent="0.2">
      <c r="A64" t="s">
        <v>72</v>
      </c>
      <c r="B64" t="s">
        <v>73</v>
      </c>
      <c r="C64" s="40">
        <v>43941</v>
      </c>
      <c r="D64" s="41" t="s">
        <v>21</v>
      </c>
      <c r="E64" s="42"/>
      <c r="F64">
        <v>153432</v>
      </c>
      <c r="G64">
        <v>512885</v>
      </c>
      <c r="H64" s="19">
        <v>2.3378000000000001</v>
      </c>
      <c r="I64" s="10"/>
      <c r="J64" s="10"/>
      <c r="K64" s="10"/>
      <c r="L64" s="10"/>
      <c r="M64" s="51">
        <v>2.3104</v>
      </c>
    </row>
    <row r="65" spans="1:13" x14ac:dyDescent="0.2">
      <c r="A65" t="s">
        <v>72</v>
      </c>
      <c r="B65" t="s">
        <v>73</v>
      </c>
      <c r="C65" s="40">
        <v>43941</v>
      </c>
      <c r="D65" s="41" t="s">
        <v>17</v>
      </c>
      <c r="E65" s="7">
        <v>29632</v>
      </c>
      <c r="F65" s="20"/>
      <c r="G65" s="20"/>
      <c r="H65" s="53">
        <v>-1.5492000000000001</v>
      </c>
      <c r="I65" s="10"/>
      <c r="J65" s="10"/>
      <c r="K65" s="10"/>
      <c r="L65" s="10"/>
      <c r="M65" s="45">
        <f>1.4178-2.967</f>
        <v>-1.5492000000000001</v>
      </c>
    </row>
    <row r="66" spans="1:13" x14ac:dyDescent="0.2">
      <c r="A66" t="s">
        <v>72</v>
      </c>
      <c r="B66" t="s">
        <v>73</v>
      </c>
      <c r="C66" s="40">
        <v>43971</v>
      </c>
      <c r="D66" s="41" t="s">
        <v>23</v>
      </c>
      <c r="E66" s="42"/>
      <c r="F66" s="20"/>
      <c r="G66" s="20"/>
      <c r="H66" s="37">
        <v>-4.4095000000000004</v>
      </c>
      <c r="I66" s="10"/>
      <c r="J66" s="10"/>
      <c r="K66" s="10"/>
      <c r="L66" s="10"/>
      <c r="M66" s="51">
        <v>-4.4095000000000004</v>
      </c>
    </row>
    <row r="67" spans="1:13" x14ac:dyDescent="0.2">
      <c r="A67" t="s">
        <v>72</v>
      </c>
      <c r="B67" t="s">
        <v>73</v>
      </c>
      <c r="C67" s="40">
        <v>43971</v>
      </c>
      <c r="D67" s="41" t="s">
        <v>15</v>
      </c>
      <c r="E67" s="7">
        <v>18619</v>
      </c>
      <c r="F67" s="20"/>
      <c r="G67" s="20"/>
      <c r="H67" s="19">
        <v>-4.1689999999999996</v>
      </c>
      <c r="I67" s="23">
        <f>100+45</f>
        <v>145</v>
      </c>
      <c r="J67" s="14">
        <v>144.19999999999999</v>
      </c>
      <c r="K67" s="24">
        <f>J67-I67</f>
        <v>-0.80000000000001137</v>
      </c>
      <c r="L67" s="10"/>
      <c r="M67" s="50" t="s">
        <v>42</v>
      </c>
    </row>
    <row r="68" spans="1:13" x14ac:dyDescent="0.2">
      <c r="A68" t="s">
        <v>72</v>
      </c>
      <c r="B68" t="s">
        <v>73</v>
      </c>
      <c r="C68" s="40">
        <v>43971</v>
      </c>
      <c r="D68" s="41" t="s">
        <v>21</v>
      </c>
      <c r="E68" s="42"/>
      <c r="F68">
        <v>153432</v>
      </c>
      <c r="G68">
        <v>512885</v>
      </c>
      <c r="H68" s="19">
        <v>2.3199999999999998</v>
      </c>
      <c r="I68" s="10"/>
      <c r="J68" s="10"/>
      <c r="K68" s="10"/>
      <c r="L68" s="10"/>
      <c r="M68" s="51">
        <v>2.3199999999999998</v>
      </c>
    </row>
    <row r="69" spans="1:13" x14ac:dyDescent="0.2">
      <c r="A69" t="s">
        <v>72</v>
      </c>
      <c r="B69" t="s">
        <v>73</v>
      </c>
      <c r="C69" s="40">
        <v>43971</v>
      </c>
      <c r="D69" s="41" t="s">
        <v>17</v>
      </c>
      <c r="E69" s="7">
        <v>29632</v>
      </c>
      <c r="F69" s="20"/>
      <c r="G69" s="20"/>
      <c r="H69" s="53">
        <v>-1.5492000000000001</v>
      </c>
      <c r="I69" s="10"/>
      <c r="J69" s="10"/>
      <c r="K69" s="10"/>
      <c r="L69" s="10"/>
      <c r="M69" s="45">
        <f>1.4204-2.967</f>
        <v>-1.5466</v>
      </c>
    </row>
    <row r="70" spans="1:13" x14ac:dyDescent="0.2">
      <c r="A70" t="s">
        <v>72</v>
      </c>
      <c r="B70" t="s">
        <v>73</v>
      </c>
      <c r="C70" s="40">
        <v>43997</v>
      </c>
      <c r="D70" s="41" t="s">
        <v>23</v>
      </c>
      <c r="E70" s="42"/>
      <c r="F70" s="20"/>
      <c r="G70" s="20"/>
      <c r="H70" s="37">
        <v>-4.4581</v>
      </c>
      <c r="I70" s="10"/>
      <c r="J70" s="10"/>
      <c r="K70" s="10"/>
      <c r="L70" s="10"/>
      <c r="M70" s="51">
        <v>-4.4581</v>
      </c>
    </row>
    <row r="71" spans="1:13" x14ac:dyDescent="0.2">
      <c r="A71" t="s">
        <v>72</v>
      </c>
      <c r="B71" t="s">
        <v>73</v>
      </c>
      <c r="C71" s="40">
        <v>43997</v>
      </c>
      <c r="D71" s="41" t="s">
        <v>15</v>
      </c>
      <c r="E71" s="7">
        <v>18619</v>
      </c>
      <c r="F71" s="20"/>
      <c r="G71" s="20"/>
      <c r="H71" s="19">
        <v>-4.1689999999999996</v>
      </c>
      <c r="I71" s="23">
        <f>100+45</f>
        <v>145</v>
      </c>
      <c r="J71" s="14">
        <v>144.19999999999999</v>
      </c>
      <c r="K71" s="24">
        <f>J71-I71</f>
        <v>-0.80000000000001137</v>
      </c>
      <c r="L71" s="10"/>
      <c r="M71" s="50" t="s">
        <v>42</v>
      </c>
    </row>
    <row r="72" spans="1:13" x14ac:dyDescent="0.2">
      <c r="A72" t="s">
        <v>72</v>
      </c>
      <c r="B72" t="s">
        <v>73</v>
      </c>
      <c r="C72" s="40">
        <v>43997</v>
      </c>
      <c r="D72" s="41" t="s">
        <v>21</v>
      </c>
      <c r="E72" s="42"/>
      <c r="F72">
        <v>153432</v>
      </c>
      <c r="G72">
        <v>512885</v>
      </c>
      <c r="H72" s="19">
        <v>2.3020999999999998</v>
      </c>
      <c r="I72" s="10"/>
      <c r="J72" s="10"/>
      <c r="K72" s="10"/>
      <c r="L72" s="10"/>
      <c r="M72" s="51">
        <v>2.3020999999999998</v>
      </c>
    </row>
    <row r="73" spans="1:13" x14ac:dyDescent="0.2">
      <c r="A73" t="s">
        <v>72</v>
      </c>
      <c r="B73" t="s">
        <v>73</v>
      </c>
      <c r="C73" s="40">
        <v>43997</v>
      </c>
      <c r="D73" s="41" t="s">
        <v>17</v>
      </c>
      <c r="E73" s="7">
        <v>29632</v>
      </c>
      <c r="F73" s="20"/>
      <c r="G73" s="20"/>
      <c r="H73" s="53">
        <v>-1.5492000000000001</v>
      </c>
      <c r="I73" s="10"/>
      <c r="J73" s="10"/>
      <c r="K73" s="10"/>
      <c r="L73" s="10"/>
      <c r="M73" s="45">
        <f>1.4161-2.967</f>
        <v>-1.5509000000000002</v>
      </c>
    </row>
    <row r="74" spans="1:13" x14ac:dyDescent="0.2">
      <c r="A74" t="s">
        <v>72</v>
      </c>
      <c r="B74" t="s">
        <v>73</v>
      </c>
      <c r="C74" s="40">
        <v>44025</v>
      </c>
      <c r="D74" s="41" t="s">
        <v>23</v>
      </c>
      <c r="E74" s="42"/>
      <c r="F74" s="20"/>
      <c r="G74" s="20"/>
      <c r="H74" s="37">
        <v>-4.4581</v>
      </c>
      <c r="I74" s="10"/>
      <c r="J74" s="10"/>
      <c r="K74" s="10"/>
      <c r="L74" s="10"/>
      <c r="M74" s="51">
        <v>-4.4377199999999997</v>
      </c>
    </row>
    <row r="75" spans="1:13" x14ac:dyDescent="0.2">
      <c r="A75" t="s">
        <v>72</v>
      </c>
      <c r="B75" t="s">
        <v>73</v>
      </c>
      <c r="C75" s="40">
        <v>44025</v>
      </c>
      <c r="D75" s="41" t="s">
        <v>15</v>
      </c>
      <c r="E75" s="7">
        <v>18619</v>
      </c>
      <c r="F75" s="20"/>
      <c r="G75" s="20"/>
      <c r="H75" s="19">
        <v>-4.1689999999999996</v>
      </c>
      <c r="I75" s="23">
        <f>100+45</f>
        <v>145</v>
      </c>
      <c r="J75" s="14">
        <v>144.19999999999999</v>
      </c>
      <c r="K75" s="24">
        <f>J75-I75</f>
        <v>-0.80000000000001137</v>
      </c>
      <c r="L75" s="10"/>
      <c r="M75" s="50" t="s">
        <v>42</v>
      </c>
    </row>
    <row r="76" spans="1:13" x14ac:dyDescent="0.2">
      <c r="A76" t="s">
        <v>72</v>
      </c>
      <c r="B76" t="s">
        <v>73</v>
      </c>
      <c r="C76" s="40">
        <v>44025</v>
      </c>
      <c r="D76" s="41" t="s">
        <v>21</v>
      </c>
      <c r="E76" s="42"/>
      <c r="F76">
        <v>153432</v>
      </c>
      <c r="G76">
        <v>512885</v>
      </c>
      <c r="H76" s="19">
        <v>2.3020999999999998</v>
      </c>
      <c r="I76" s="10"/>
      <c r="J76" s="10"/>
      <c r="K76" s="10"/>
      <c r="L76" s="10"/>
      <c r="M76" s="46">
        <v>2.3338000000000001</v>
      </c>
    </row>
    <row r="77" spans="1:13" x14ac:dyDescent="0.2">
      <c r="A77" t="s">
        <v>72</v>
      </c>
      <c r="B77" t="s">
        <v>73</v>
      </c>
      <c r="C77" s="40">
        <v>44025</v>
      </c>
      <c r="D77" s="41" t="s">
        <v>17</v>
      </c>
      <c r="E77" s="7">
        <v>29632</v>
      </c>
      <c r="F77" s="20"/>
      <c r="G77" s="20"/>
      <c r="H77" s="53">
        <v>-1.5492000000000001</v>
      </c>
      <c r="I77" s="10"/>
      <c r="J77" s="10"/>
      <c r="K77" s="10"/>
      <c r="L77" s="10"/>
      <c r="M77" s="45">
        <f>1.4399-2.967</f>
        <v>-1.5271000000000001</v>
      </c>
    </row>
    <row r="78" spans="1:13" x14ac:dyDescent="0.2">
      <c r="A78" t="s">
        <v>72</v>
      </c>
      <c r="B78" t="s">
        <v>73</v>
      </c>
      <c r="C78" s="5">
        <v>44053</v>
      </c>
      <c r="D78" t="s">
        <v>23</v>
      </c>
      <c r="E78" s="7"/>
      <c r="F78"/>
      <c r="G78"/>
      <c r="H78" s="37">
        <v>-4.4581</v>
      </c>
      <c r="I78" s="10"/>
      <c r="J78" s="10"/>
      <c r="K78" s="10"/>
      <c r="L78" s="10"/>
      <c r="M78" s="137">
        <v>-43.402999999999999</v>
      </c>
    </row>
    <row r="79" spans="1:13" x14ac:dyDescent="0.2">
      <c r="A79" t="s">
        <v>72</v>
      </c>
      <c r="B79" t="s">
        <v>73</v>
      </c>
      <c r="C79" s="5">
        <v>44053</v>
      </c>
      <c r="D79" t="s">
        <v>15</v>
      </c>
      <c r="E79" s="7">
        <v>18619</v>
      </c>
      <c r="F79"/>
      <c r="G79"/>
      <c r="H79" s="19">
        <v>-4.1689999999999996</v>
      </c>
      <c r="I79" s="23">
        <f>100+45</f>
        <v>145</v>
      </c>
      <c r="J79" s="14">
        <v>144.19999999999999</v>
      </c>
      <c r="K79" s="24">
        <f>J79-I79</f>
        <v>-0.80000000000001137</v>
      </c>
      <c r="L79" s="10"/>
      <c r="M79" s="51" t="s">
        <v>42</v>
      </c>
    </row>
    <row r="80" spans="1:13" x14ac:dyDescent="0.2">
      <c r="A80" t="s">
        <v>72</v>
      </c>
      <c r="B80" t="s">
        <v>73</v>
      </c>
      <c r="C80" s="5">
        <v>44053</v>
      </c>
      <c r="D80" t="s">
        <v>21</v>
      </c>
      <c r="E80" s="7"/>
      <c r="F80">
        <v>153432</v>
      </c>
      <c r="G80">
        <v>512885</v>
      </c>
      <c r="H80" s="19">
        <v>2.3020999999999998</v>
      </c>
      <c r="I80" s="10"/>
      <c r="J80" s="10"/>
      <c r="K80" s="10"/>
      <c r="L80" s="10"/>
      <c r="M80" s="51">
        <v>2.33</v>
      </c>
    </row>
    <row r="81" spans="1:13" x14ac:dyDescent="0.2">
      <c r="A81" t="s">
        <v>72</v>
      </c>
      <c r="B81" t="s">
        <v>73</v>
      </c>
      <c r="C81" s="5">
        <v>44053</v>
      </c>
      <c r="D81" t="s">
        <v>17</v>
      </c>
      <c r="E81" s="7">
        <v>29632</v>
      </c>
      <c r="F81"/>
      <c r="G81"/>
      <c r="H81" s="53">
        <v>-1.5492000000000001</v>
      </c>
      <c r="I81" s="10"/>
      <c r="J81" s="10"/>
      <c r="K81" s="10"/>
      <c r="L81" s="10"/>
      <c r="M81" s="51">
        <v>-1.52</v>
      </c>
    </row>
    <row r="82" spans="1:13" x14ac:dyDescent="0.2">
      <c r="A82" t="s">
        <v>72</v>
      </c>
      <c r="B82" t="s">
        <v>73</v>
      </c>
      <c r="C82" s="5">
        <v>44081</v>
      </c>
      <c r="D82" t="s">
        <v>23</v>
      </c>
      <c r="E82" s="7"/>
      <c r="F82"/>
      <c r="G82"/>
      <c r="H82" s="37">
        <v>-4.4581</v>
      </c>
      <c r="I82" s="10"/>
      <c r="J82" s="10"/>
      <c r="K82" s="10"/>
      <c r="L82" s="10"/>
      <c r="M82" s="137">
        <v>-4.4151999999999996</v>
      </c>
    </row>
    <row r="83" spans="1:13" x14ac:dyDescent="0.2">
      <c r="A83" t="s">
        <v>72</v>
      </c>
      <c r="B83" t="s">
        <v>73</v>
      </c>
      <c r="C83" s="5">
        <v>44081</v>
      </c>
      <c r="D83" t="s">
        <v>15</v>
      </c>
      <c r="E83" s="7">
        <v>18619</v>
      </c>
      <c r="F83"/>
      <c r="G83"/>
      <c r="H83" s="19">
        <v>-4.1689999999999996</v>
      </c>
      <c r="I83" s="23">
        <f>100+45</f>
        <v>145</v>
      </c>
      <c r="J83" s="14">
        <v>144.19999999999999</v>
      </c>
      <c r="K83" s="24">
        <f>J83-I83</f>
        <v>-0.80000000000001137</v>
      </c>
      <c r="L83" s="10"/>
      <c r="M83" s="51" t="s">
        <v>42</v>
      </c>
    </row>
    <row r="84" spans="1:13" ht="12.75" customHeight="1" x14ac:dyDescent="0.2">
      <c r="A84" t="s">
        <v>72</v>
      </c>
      <c r="B84" t="s">
        <v>73</v>
      </c>
      <c r="C84" s="5">
        <v>44081</v>
      </c>
      <c r="D84" t="s">
        <v>21</v>
      </c>
      <c r="E84" s="7"/>
      <c r="F84">
        <v>153432</v>
      </c>
      <c r="G84">
        <v>512885</v>
      </c>
      <c r="H84" s="19">
        <v>2.3020999999999998</v>
      </c>
      <c r="I84" s="10"/>
      <c r="J84" s="10"/>
      <c r="K84" s="10"/>
      <c r="L84" s="10"/>
      <c r="M84" s="51">
        <v>2.3079999999999998</v>
      </c>
    </row>
    <row r="85" spans="1:13" ht="12.75" customHeight="1" x14ac:dyDescent="0.2">
      <c r="A85" t="s">
        <v>72</v>
      </c>
      <c r="B85" t="s">
        <v>73</v>
      </c>
      <c r="C85" s="5">
        <v>44081</v>
      </c>
      <c r="D85" t="s">
        <v>17</v>
      </c>
      <c r="E85" s="7">
        <v>29632</v>
      </c>
      <c r="F85"/>
      <c r="G85"/>
      <c r="H85" s="53">
        <v>-1.5492000000000001</v>
      </c>
      <c r="I85" s="10"/>
      <c r="J85" s="10"/>
      <c r="K85" s="10"/>
      <c r="L85" s="10"/>
      <c r="M85" s="45">
        <f>1.419-2.967</f>
        <v>-1.548</v>
      </c>
    </row>
    <row r="86" spans="1:13" x14ac:dyDescent="0.2">
      <c r="A86" t="s">
        <v>72</v>
      </c>
      <c r="B86" t="s">
        <v>73</v>
      </c>
      <c r="C86" s="5">
        <v>44139</v>
      </c>
      <c r="D86" t="s">
        <v>23</v>
      </c>
      <c r="E86" s="7"/>
      <c r="F86"/>
      <c r="G86"/>
      <c r="H86" s="37">
        <v>-4.4581</v>
      </c>
      <c r="I86" s="10"/>
      <c r="J86" s="10"/>
      <c r="K86" s="10"/>
      <c r="L86" s="10"/>
      <c r="M86" s="137">
        <v>-4.3322000000000003</v>
      </c>
    </row>
    <row r="87" spans="1:13" x14ac:dyDescent="0.2">
      <c r="A87" t="s">
        <v>72</v>
      </c>
      <c r="B87" t="s">
        <v>73</v>
      </c>
      <c r="C87" s="5">
        <v>44139</v>
      </c>
      <c r="D87" t="s">
        <v>15</v>
      </c>
      <c r="E87" s="7">
        <v>18619</v>
      </c>
      <c r="F87"/>
      <c r="G87"/>
      <c r="H87" s="19">
        <v>-4.1689999999999996</v>
      </c>
      <c r="I87" s="23">
        <f>100+45</f>
        <v>145</v>
      </c>
      <c r="J87" s="14">
        <v>144.19999999999999</v>
      </c>
      <c r="K87" s="24">
        <f>J87-I87</f>
        <v>-0.80000000000001137</v>
      </c>
      <c r="L87" s="10"/>
      <c r="M87" s="51" t="s">
        <v>42</v>
      </c>
    </row>
    <row r="88" spans="1:13" x14ac:dyDescent="0.2">
      <c r="A88" t="s">
        <v>72</v>
      </c>
      <c r="B88" t="s">
        <v>73</v>
      </c>
      <c r="C88" s="5">
        <v>44139</v>
      </c>
      <c r="D88" t="s">
        <v>21</v>
      </c>
      <c r="E88" s="7"/>
      <c r="F88">
        <v>153432</v>
      </c>
      <c r="G88">
        <v>512885</v>
      </c>
      <c r="H88" s="19">
        <v>2.3020999999999998</v>
      </c>
      <c r="I88" s="10"/>
      <c r="J88" s="10"/>
      <c r="K88" s="10"/>
      <c r="L88" s="10"/>
      <c r="M88" s="51">
        <v>2.2932999999999999</v>
      </c>
    </row>
    <row r="89" spans="1:13" x14ac:dyDescent="0.2">
      <c r="A89" t="s">
        <v>72</v>
      </c>
      <c r="B89" t="s">
        <v>73</v>
      </c>
      <c r="C89" s="5">
        <v>44139</v>
      </c>
      <c r="D89" t="s">
        <v>17</v>
      </c>
      <c r="E89" s="7">
        <v>29632</v>
      </c>
      <c r="F89"/>
      <c r="G89"/>
      <c r="H89" s="53">
        <v>-1.5492000000000001</v>
      </c>
      <c r="I89" s="10"/>
      <c r="J89" s="10"/>
      <c r="K89" s="10"/>
      <c r="L89" s="10"/>
      <c r="M89" s="45">
        <f>1.4075-2.967</f>
        <v>-1.5595000000000001</v>
      </c>
    </row>
    <row r="90" spans="1:13" x14ac:dyDescent="0.2">
      <c r="A90" t="s">
        <v>72</v>
      </c>
      <c r="B90" t="s">
        <v>73</v>
      </c>
      <c r="C90" s="5">
        <v>44165</v>
      </c>
      <c r="D90" t="s">
        <v>23</v>
      </c>
      <c r="E90" s="7"/>
      <c r="F90"/>
      <c r="G90"/>
      <c r="H90" s="37">
        <v>-4.3612000000000002</v>
      </c>
      <c r="I90" s="10"/>
      <c r="J90" s="10"/>
      <c r="K90" s="10"/>
      <c r="L90" s="10"/>
      <c r="M90" s="137">
        <v>-4.3612000000000002</v>
      </c>
    </row>
    <row r="91" spans="1:13" x14ac:dyDescent="0.2">
      <c r="A91" t="s">
        <v>72</v>
      </c>
      <c r="B91" t="s">
        <v>73</v>
      </c>
      <c r="C91" s="5">
        <v>44165</v>
      </c>
      <c r="D91" t="s">
        <v>15</v>
      </c>
      <c r="E91" s="7">
        <v>18619</v>
      </c>
      <c r="F91"/>
      <c r="G91"/>
      <c r="H91" s="19">
        <v>-4.1689999999999996</v>
      </c>
      <c r="I91" s="23">
        <f>100+45</f>
        <v>145</v>
      </c>
      <c r="J91" s="14">
        <v>144.19999999999999</v>
      </c>
      <c r="K91" s="24">
        <f>J91-I91</f>
        <v>-0.80000000000001137</v>
      </c>
      <c r="L91" s="10"/>
      <c r="M91" s="51" t="s">
        <v>42</v>
      </c>
    </row>
    <row r="92" spans="1:13" x14ac:dyDescent="0.2">
      <c r="A92" t="s">
        <v>72</v>
      </c>
      <c r="B92" t="s">
        <v>73</v>
      </c>
      <c r="C92" s="5">
        <v>44165</v>
      </c>
      <c r="D92" t="s">
        <v>21</v>
      </c>
      <c r="E92" s="7"/>
      <c r="F92">
        <v>153432</v>
      </c>
      <c r="G92">
        <v>512885</v>
      </c>
      <c r="H92" s="19">
        <v>2.2967</v>
      </c>
      <c r="I92" s="10"/>
      <c r="J92" s="10"/>
      <c r="K92" s="10"/>
      <c r="L92" s="10"/>
      <c r="M92" s="51">
        <v>2.2967</v>
      </c>
    </row>
    <row r="93" spans="1:13" x14ac:dyDescent="0.2">
      <c r="A93" t="s">
        <v>72</v>
      </c>
      <c r="B93" t="s">
        <v>73</v>
      </c>
      <c r="C93" s="5">
        <v>44165</v>
      </c>
      <c r="D93" t="s">
        <v>17</v>
      </c>
      <c r="E93" s="7">
        <v>29632</v>
      </c>
      <c r="F93"/>
      <c r="G93"/>
      <c r="H93" s="53">
        <v>-1.5492000000000001</v>
      </c>
      <c r="I93" s="10"/>
      <c r="J93" s="10"/>
      <c r="K93" s="10"/>
      <c r="L93" s="10"/>
      <c r="M93" s="45">
        <f>1.4068-2.967</f>
        <v>-1.5602</v>
      </c>
    </row>
    <row r="94" spans="1:13" x14ac:dyDescent="0.2">
      <c r="A94" t="s">
        <v>72</v>
      </c>
      <c r="B94" t="s">
        <v>73</v>
      </c>
      <c r="C94" s="5">
        <v>44222</v>
      </c>
      <c r="D94" t="s">
        <v>23</v>
      </c>
      <c r="E94" s="7"/>
      <c r="F94"/>
      <c r="G94"/>
      <c r="H94" s="37">
        <v>-4.3612000000000002</v>
      </c>
      <c r="I94" s="10"/>
      <c r="J94" s="10"/>
      <c r="K94" s="10"/>
      <c r="L94" s="10"/>
      <c r="M94" s="137">
        <v>-4.4131999999999998</v>
      </c>
    </row>
    <row r="95" spans="1:13" x14ac:dyDescent="0.2">
      <c r="A95" t="s">
        <v>72</v>
      </c>
      <c r="B95" t="s">
        <v>73</v>
      </c>
      <c r="C95" s="5">
        <v>44222</v>
      </c>
      <c r="D95" t="s">
        <v>15</v>
      </c>
      <c r="E95" s="7">
        <v>18619</v>
      </c>
      <c r="F95"/>
      <c r="G95"/>
      <c r="H95" s="19">
        <v>-4.1689999999999996</v>
      </c>
      <c r="I95" s="23">
        <f>100+45</f>
        <v>145</v>
      </c>
      <c r="J95" s="14">
        <v>144.19999999999999</v>
      </c>
      <c r="K95" s="24">
        <f>J95-I95</f>
        <v>-0.80000000000001137</v>
      </c>
      <c r="L95" s="10"/>
      <c r="M95" s="51" t="s">
        <v>42</v>
      </c>
    </row>
    <row r="96" spans="1:13" x14ac:dyDescent="0.2">
      <c r="A96" t="s">
        <v>72</v>
      </c>
      <c r="B96" t="s">
        <v>73</v>
      </c>
      <c r="C96" s="5">
        <v>44222</v>
      </c>
      <c r="D96" t="s">
        <v>21</v>
      </c>
      <c r="E96" s="7"/>
      <c r="F96">
        <v>153432</v>
      </c>
      <c r="G96">
        <v>512885</v>
      </c>
      <c r="H96" s="19">
        <v>2.2967</v>
      </c>
      <c r="I96" s="10"/>
      <c r="J96" s="10"/>
      <c r="K96" s="10"/>
      <c r="L96" s="10"/>
      <c r="M96" s="51">
        <v>2.2913999999999999</v>
      </c>
    </row>
    <row r="97" spans="1:14" s="126" customFormat="1" ht="13.5" thickBot="1" x14ac:dyDescent="0.25">
      <c r="A97" s="118" t="s">
        <v>72</v>
      </c>
      <c r="B97" s="118" t="s">
        <v>73</v>
      </c>
      <c r="C97" s="129">
        <v>44222</v>
      </c>
      <c r="D97" s="118" t="s">
        <v>17</v>
      </c>
      <c r="E97" s="121">
        <v>29632</v>
      </c>
      <c r="F97" s="118"/>
      <c r="G97" s="118"/>
      <c r="H97" s="172">
        <v>-1.5492000000000001</v>
      </c>
      <c r="I97" s="123"/>
      <c r="J97" s="123"/>
      <c r="K97" s="123"/>
      <c r="L97" s="123"/>
      <c r="M97" s="171">
        <f>1.3922-2.967</f>
        <v>-1.5748</v>
      </c>
      <c r="N97" s="125"/>
    </row>
    <row r="98" spans="1:14" x14ac:dyDescent="0.2">
      <c r="A98"/>
      <c r="B98"/>
      <c r="C98"/>
      <c r="D98"/>
      <c r="E98" s="7"/>
      <c r="F98"/>
      <c r="G98"/>
      <c r="H98" s="10"/>
      <c r="I98" s="10"/>
      <c r="J98" s="10"/>
      <c r="K98" s="10"/>
      <c r="L98" s="10"/>
      <c r="M98" s="51"/>
    </row>
    <row r="99" spans="1:14" x14ac:dyDescent="0.2">
      <c r="A99"/>
      <c r="B99"/>
      <c r="C99"/>
      <c r="D99"/>
      <c r="E99" s="7"/>
      <c r="F99"/>
      <c r="G99"/>
      <c r="H99" s="10"/>
      <c r="I99" s="10"/>
      <c r="J99" s="10"/>
      <c r="K99" s="10"/>
      <c r="L99" s="10"/>
      <c r="M99" s="51"/>
    </row>
    <row r="100" spans="1:14" x14ac:dyDescent="0.2">
      <c r="A100"/>
      <c r="B100"/>
      <c r="C100"/>
      <c r="D100"/>
      <c r="E100" s="7"/>
      <c r="F100"/>
      <c r="G100"/>
      <c r="H100" s="10"/>
      <c r="I100" s="10"/>
      <c r="J100" s="10"/>
      <c r="K100" s="10"/>
      <c r="L100" s="10"/>
      <c r="M100" s="51"/>
    </row>
    <row r="101" spans="1:14" x14ac:dyDescent="0.2">
      <c r="A101"/>
      <c r="B101"/>
      <c r="C101"/>
      <c r="D101"/>
      <c r="E101" s="7"/>
      <c r="F101"/>
      <c r="G101"/>
      <c r="H101" s="10"/>
      <c r="I101" s="10"/>
      <c r="J101" s="10"/>
      <c r="K101" s="10"/>
      <c r="L101" s="10"/>
      <c r="M101" s="51"/>
    </row>
    <row r="102" spans="1:14" x14ac:dyDescent="0.2">
      <c r="A102"/>
      <c r="B102"/>
      <c r="C102"/>
      <c r="D102"/>
      <c r="E102" s="7"/>
      <c r="F102"/>
      <c r="G102"/>
      <c r="H102" s="10"/>
      <c r="I102" s="10"/>
      <c r="J102" s="10"/>
      <c r="K102" s="10"/>
      <c r="L102" s="10"/>
      <c r="M102" s="51"/>
    </row>
    <row r="103" spans="1:14" x14ac:dyDescent="0.2">
      <c r="A103"/>
      <c r="B103"/>
      <c r="C103"/>
      <c r="D103"/>
      <c r="E103" s="7"/>
      <c r="F103"/>
      <c r="G103"/>
      <c r="H103" s="10"/>
      <c r="I103" s="10"/>
      <c r="J103" s="10"/>
      <c r="K103" s="10"/>
      <c r="L103" s="10"/>
      <c r="M103" s="51"/>
    </row>
    <row r="104" spans="1:14" x14ac:dyDescent="0.2">
      <c r="A104"/>
      <c r="B104"/>
      <c r="C104"/>
      <c r="D104"/>
      <c r="E104" s="7"/>
      <c r="F104"/>
      <c r="G104"/>
      <c r="H104" s="10"/>
      <c r="I104" s="10"/>
      <c r="J104" s="10"/>
      <c r="K104" s="10"/>
      <c r="L104" s="10"/>
      <c r="M104" s="51"/>
    </row>
    <row r="105" spans="1:14" x14ac:dyDescent="0.2">
      <c r="A105"/>
      <c r="B105"/>
      <c r="C105"/>
      <c r="D105"/>
      <c r="E105" s="7"/>
      <c r="F105"/>
      <c r="G105"/>
      <c r="H105" s="10"/>
      <c r="I105" s="10"/>
      <c r="J105" s="10"/>
      <c r="K105" s="10"/>
      <c r="L105" s="10"/>
      <c r="M105" s="51"/>
    </row>
    <row r="106" spans="1:14" x14ac:dyDescent="0.2">
      <c r="A106"/>
      <c r="B106"/>
      <c r="C106"/>
      <c r="D106"/>
      <c r="E106" s="7"/>
      <c r="F106"/>
      <c r="G106"/>
      <c r="H106" s="10"/>
      <c r="I106" s="10"/>
      <c r="J106" s="10"/>
      <c r="K106" s="10"/>
      <c r="L106" s="10"/>
      <c r="M106" s="51"/>
    </row>
    <row r="107" spans="1:14" x14ac:dyDescent="0.2">
      <c r="A107"/>
      <c r="B107"/>
      <c r="C107"/>
      <c r="D107"/>
      <c r="E107" s="7"/>
      <c r="F107"/>
      <c r="G107"/>
      <c r="H107" s="10"/>
      <c r="I107" s="10"/>
      <c r="J107" s="10"/>
      <c r="K107" s="10"/>
      <c r="L107" s="10"/>
      <c r="M107" s="51"/>
    </row>
    <row r="108" spans="1:14" x14ac:dyDescent="0.2">
      <c r="A108"/>
      <c r="B108"/>
      <c r="C108"/>
      <c r="D108"/>
      <c r="E108" s="7"/>
      <c r="F108"/>
      <c r="G108"/>
      <c r="H108" s="10"/>
      <c r="I108" s="10"/>
      <c r="J108" s="10"/>
      <c r="K108" s="10"/>
      <c r="L108" s="10"/>
      <c r="M108" s="51"/>
    </row>
    <row r="109" spans="1:14" x14ac:dyDescent="0.2">
      <c r="A109"/>
      <c r="B109"/>
      <c r="C109"/>
      <c r="D109"/>
      <c r="E109" s="7"/>
      <c r="F109"/>
      <c r="G109"/>
      <c r="H109" s="10"/>
      <c r="I109" s="10"/>
      <c r="J109" s="10"/>
      <c r="K109" s="10"/>
      <c r="L109" s="10"/>
      <c r="M109" s="51"/>
    </row>
    <row r="110" spans="1:14" x14ac:dyDescent="0.2">
      <c r="A110"/>
      <c r="B110"/>
      <c r="C110"/>
      <c r="D110"/>
      <c r="E110" s="7"/>
      <c r="F110"/>
      <c r="G110"/>
      <c r="H110" s="10"/>
      <c r="I110" s="10"/>
      <c r="J110" s="10"/>
      <c r="K110" s="10"/>
      <c r="L110" s="10"/>
      <c r="M110" s="51"/>
    </row>
    <row r="111" spans="1:14" x14ac:dyDescent="0.2">
      <c r="A111"/>
      <c r="B111"/>
      <c r="C111"/>
      <c r="D111"/>
      <c r="E111" s="7"/>
      <c r="F111"/>
      <c r="G111"/>
      <c r="H111" s="10"/>
      <c r="I111" s="10"/>
      <c r="J111" s="10"/>
      <c r="K111" s="10"/>
      <c r="L111" s="10"/>
      <c r="M111" s="51"/>
    </row>
    <row r="112" spans="1:14" x14ac:dyDescent="0.2">
      <c r="A112"/>
      <c r="B112"/>
      <c r="C112"/>
      <c r="D112"/>
      <c r="E112" s="7"/>
      <c r="F112"/>
      <c r="G112"/>
      <c r="H112" s="10"/>
      <c r="I112" s="10"/>
      <c r="J112" s="10"/>
      <c r="K112" s="10"/>
      <c r="L112" s="10"/>
      <c r="M112" s="51"/>
    </row>
    <row r="113" spans="1:13" x14ac:dyDescent="0.2">
      <c r="A113"/>
      <c r="B113"/>
      <c r="C113"/>
      <c r="D113"/>
      <c r="E113" s="7"/>
      <c r="F113"/>
      <c r="G113"/>
      <c r="H113" s="10"/>
      <c r="I113" s="10"/>
      <c r="J113" s="10"/>
      <c r="K113" s="10"/>
      <c r="L113" s="10"/>
      <c r="M113" s="51"/>
    </row>
    <row r="114" spans="1:13" x14ac:dyDescent="0.2">
      <c r="A114"/>
      <c r="B114"/>
      <c r="C114"/>
      <c r="D114"/>
      <c r="E114" s="7"/>
      <c r="F114"/>
      <c r="G114"/>
      <c r="H114" s="10"/>
      <c r="I114" s="10"/>
      <c r="J114" s="10"/>
      <c r="K114" s="10"/>
      <c r="L114" s="10"/>
      <c r="M114" s="51"/>
    </row>
    <row r="115" spans="1:13" x14ac:dyDescent="0.2">
      <c r="A115"/>
      <c r="B115"/>
      <c r="C115"/>
      <c r="D115"/>
      <c r="E115" s="7"/>
      <c r="F115"/>
      <c r="G115"/>
      <c r="H115" s="10"/>
      <c r="I115" s="10"/>
      <c r="J115" s="10"/>
      <c r="K115" s="10"/>
      <c r="L115" s="10"/>
      <c r="M115" s="51"/>
    </row>
    <row r="116" spans="1:13" x14ac:dyDescent="0.2">
      <c r="A116"/>
      <c r="B116"/>
      <c r="C116"/>
      <c r="D116"/>
      <c r="E116" s="7"/>
      <c r="F116"/>
      <c r="G116"/>
      <c r="H116" s="10"/>
      <c r="I116" s="10"/>
      <c r="J116" s="10"/>
      <c r="K116" s="10"/>
      <c r="L116" s="10"/>
      <c r="M116" s="51"/>
    </row>
    <row r="117" spans="1:13" x14ac:dyDescent="0.2">
      <c r="A117"/>
      <c r="B117"/>
      <c r="C117"/>
      <c r="D117"/>
      <c r="E117" s="7"/>
      <c r="F117"/>
      <c r="G117"/>
      <c r="H117" s="10"/>
      <c r="I117" s="10"/>
      <c r="J117" s="10"/>
      <c r="K117" s="10"/>
      <c r="L117" s="10"/>
      <c r="M117" s="51"/>
    </row>
    <row r="118" spans="1:13" x14ac:dyDescent="0.2">
      <c r="A118"/>
      <c r="B118"/>
      <c r="C118"/>
      <c r="D118"/>
      <c r="E118" s="7"/>
      <c r="F118"/>
      <c r="G118"/>
      <c r="H118" s="10"/>
      <c r="I118" s="10"/>
      <c r="J118" s="10"/>
      <c r="K118" s="10"/>
      <c r="L118" s="10"/>
      <c r="M118" s="51"/>
    </row>
    <row r="119" spans="1:13" x14ac:dyDescent="0.2">
      <c r="A119"/>
      <c r="B119"/>
      <c r="C119"/>
      <c r="D119"/>
      <c r="E119" s="7"/>
      <c r="F119"/>
      <c r="G119"/>
      <c r="H119" s="10"/>
      <c r="I119" s="10"/>
      <c r="J119" s="10"/>
      <c r="K119" s="10"/>
      <c r="L119" s="10"/>
      <c r="M119" s="51"/>
    </row>
    <row r="120" spans="1:13" x14ac:dyDescent="0.2">
      <c r="A120"/>
      <c r="B120"/>
      <c r="C120"/>
      <c r="D120"/>
      <c r="E120" s="7"/>
      <c r="F120"/>
      <c r="G120"/>
      <c r="H120" s="10"/>
      <c r="I120" s="10"/>
      <c r="J120" s="10"/>
      <c r="K120" s="10"/>
      <c r="L120" s="10"/>
      <c r="M120" s="51"/>
    </row>
    <row r="121" spans="1:13" x14ac:dyDescent="0.2">
      <c r="A121"/>
      <c r="B121"/>
      <c r="C121"/>
      <c r="D121"/>
      <c r="E121" s="7"/>
      <c r="F121"/>
      <c r="G121"/>
      <c r="H121" s="10"/>
      <c r="I121" s="10"/>
      <c r="J121" s="10"/>
      <c r="K121" s="10"/>
      <c r="L121" s="10"/>
      <c r="M121" s="51"/>
    </row>
    <row r="122" spans="1:13" x14ac:dyDescent="0.2">
      <c r="A122"/>
      <c r="B122"/>
      <c r="C122"/>
      <c r="D122"/>
      <c r="E122" s="7"/>
      <c r="F122"/>
      <c r="G122"/>
      <c r="H122" s="10"/>
      <c r="I122" s="10"/>
      <c r="J122" s="10"/>
      <c r="K122" s="10"/>
      <c r="L122" s="10"/>
      <c r="M122" s="51"/>
    </row>
    <row r="123" spans="1:13" x14ac:dyDescent="0.2">
      <c r="A123"/>
      <c r="B123"/>
      <c r="C123"/>
      <c r="D123"/>
      <c r="E123" s="7"/>
      <c r="F123"/>
      <c r="G123"/>
      <c r="H123" s="10"/>
      <c r="I123" s="10"/>
      <c r="J123" s="10"/>
      <c r="K123" s="10"/>
      <c r="L123" s="10"/>
      <c r="M123" s="51"/>
    </row>
    <row r="124" spans="1:13" x14ac:dyDescent="0.2">
      <c r="A124"/>
      <c r="B124"/>
      <c r="C124"/>
      <c r="D124"/>
      <c r="E124" s="7"/>
      <c r="F124"/>
      <c r="G124"/>
      <c r="H124" s="10"/>
      <c r="I124" s="10"/>
      <c r="J124" s="10"/>
      <c r="K124" s="10"/>
      <c r="L124" s="10"/>
      <c r="M124" s="51"/>
    </row>
    <row r="125" spans="1:13" x14ac:dyDescent="0.2">
      <c r="A125"/>
      <c r="B125"/>
      <c r="C125"/>
      <c r="D125"/>
      <c r="E125" s="7"/>
      <c r="F125"/>
      <c r="G125"/>
      <c r="H125" s="10"/>
      <c r="I125" s="10"/>
      <c r="J125" s="10"/>
      <c r="K125" s="10"/>
      <c r="L125" s="10"/>
      <c r="M125" s="51"/>
    </row>
    <row r="126" spans="1:13" x14ac:dyDescent="0.2">
      <c r="A126"/>
      <c r="B126"/>
      <c r="C126"/>
      <c r="D126"/>
      <c r="E126" s="7"/>
      <c r="F126"/>
      <c r="G126"/>
      <c r="H126" s="10"/>
      <c r="I126" s="10"/>
      <c r="J126" s="10"/>
      <c r="K126" s="10"/>
      <c r="L126" s="10"/>
      <c r="M126" s="51"/>
    </row>
    <row r="127" spans="1:13" x14ac:dyDescent="0.2">
      <c r="A127"/>
      <c r="B127"/>
      <c r="C127"/>
      <c r="D127"/>
      <c r="E127" s="7"/>
      <c r="F127"/>
      <c r="G127"/>
      <c r="H127" s="10"/>
      <c r="I127" s="10"/>
      <c r="J127" s="10"/>
      <c r="K127" s="10"/>
      <c r="L127" s="10"/>
      <c r="M127" s="51"/>
    </row>
    <row r="128" spans="1:13" x14ac:dyDescent="0.2">
      <c r="A128"/>
      <c r="B128"/>
      <c r="C128"/>
      <c r="D128"/>
      <c r="E128" s="7"/>
      <c r="F128"/>
      <c r="G128"/>
      <c r="H128" s="10"/>
      <c r="I128" s="10"/>
      <c r="J128" s="10"/>
      <c r="K128" s="10"/>
      <c r="L128" s="10"/>
      <c r="M128" s="51"/>
    </row>
    <row r="129" spans="1:13" x14ac:dyDescent="0.2">
      <c r="A129"/>
      <c r="B129"/>
      <c r="C129"/>
      <c r="D129"/>
      <c r="E129" s="7"/>
      <c r="F129"/>
      <c r="G129"/>
      <c r="H129" s="10"/>
      <c r="I129" s="10"/>
      <c r="J129" s="10"/>
      <c r="K129" s="10"/>
      <c r="L129" s="10"/>
      <c r="M129" s="51"/>
    </row>
    <row r="130" spans="1:13" x14ac:dyDescent="0.2">
      <c r="A130"/>
      <c r="B130"/>
      <c r="C130"/>
      <c r="D130"/>
      <c r="E130" s="7"/>
      <c r="F130"/>
      <c r="G130"/>
      <c r="H130" s="10"/>
      <c r="I130" s="10"/>
      <c r="J130" s="10"/>
      <c r="K130" s="10"/>
      <c r="L130" s="10"/>
      <c r="M130" s="51"/>
    </row>
    <row r="131" spans="1:13" x14ac:dyDescent="0.2">
      <c r="A131"/>
      <c r="B131"/>
      <c r="C131"/>
      <c r="D131"/>
      <c r="E131" s="7"/>
      <c r="F131"/>
      <c r="G131"/>
      <c r="H131" s="10"/>
      <c r="I131" s="10"/>
      <c r="J131" s="10"/>
      <c r="K131" s="10"/>
      <c r="L131" s="10"/>
      <c r="M131" s="51"/>
    </row>
    <row r="132" spans="1:13" x14ac:dyDescent="0.2">
      <c r="A132"/>
      <c r="B132"/>
      <c r="C132"/>
      <c r="D132"/>
      <c r="E132" s="7"/>
      <c r="F132"/>
      <c r="G132"/>
      <c r="H132" s="10"/>
      <c r="I132" s="10"/>
      <c r="J132" s="10"/>
      <c r="K132" s="10"/>
      <c r="L132" s="10"/>
      <c r="M132" s="51"/>
    </row>
    <row r="133" spans="1:13" x14ac:dyDescent="0.2">
      <c r="A133"/>
      <c r="B133"/>
      <c r="C133"/>
      <c r="D133"/>
      <c r="E133" s="7"/>
      <c r="F133"/>
      <c r="G133"/>
      <c r="H133" s="10"/>
      <c r="I133" s="10"/>
      <c r="J133" s="10"/>
      <c r="K133" s="10"/>
      <c r="L133" s="10"/>
      <c r="M133" s="51"/>
    </row>
    <row r="134" spans="1:13" x14ac:dyDescent="0.2">
      <c r="A134"/>
      <c r="B134"/>
      <c r="C134"/>
      <c r="D134"/>
      <c r="E134" s="7"/>
      <c r="F134"/>
      <c r="G134"/>
      <c r="H134" s="10"/>
      <c r="I134" s="10"/>
      <c r="J134" s="10"/>
      <c r="K134" s="10"/>
      <c r="L134" s="10"/>
      <c r="M134" s="51"/>
    </row>
    <row r="135" spans="1:13" x14ac:dyDescent="0.2">
      <c r="A135"/>
      <c r="B135"/>
      <c r="C135"/>
      <c r="D135"/>
      <c r="E135" s="7"/>
      <c r="F135"/>
      <c r="G135"/>
      <c r="H135" s="10"/>
      <c r="I135" s="10"/>
      <c r="J135" s="10"/>
      <c r="K135" s="10"/>
      <c r="L135" s="10"/>
      <c r="M135" s="51"/>
    </row>
    <row r="136" spans="1:13" x14ac:dyDescent="0.2">
      <c r="A136"/>
      <c r="B136"/>
      <c r="C136"/>
      <c r="D136"/>
      <c r="E136" s="7"/>
      <c r="F136"/>
      <c r="G136"/>
      <c r="H136" s="10"/>
      <c r="I136" s="10"/>
      <c r="J136" s="10"/>
      <c r="K136" s="10"/>
      <c r="L136" s="10"/>
      <c r="M136" s="51"/>
    </row>
    <row r="137" spans="1:13" x14ac:dyDescent="0.2">
      <c r="A137"/>
      <c r="B137"/>
      <c r="C137"/>
      <c r="D137"/>
      <c r="E137" s="7"/>
      <c r="F137"/>
      <c r="G137"/>
      <c r="H137" s="10"/>
      <c r="I137" s="10"/>
      <c r="J137" s="10"/>
      <c r="K137" s="10"/>
      <c r="L137" s="10"/>
      <c r="M137" s="51"/>
    </row>
    <row r="138" spans="1:13" x14ac:dyDescent="0.2">
      <c r="A138"/>
      <c r="B138"/>
      <c r="C138"/>
      <c r="D138"/>
      <c r="E138" s="7"/>
      <c r="F138"/>
      <c r="G138"/>
      <c r="H138" s="10"/>
      <c r="I138" s="10"/>
      <c r="J138" s="10"/>
      <c r="K138" s="10"/>
      <c r="L138" s="10"/>
      <c r="M138" s="51"/>
    </row>
    <row r="139" spans="1:13" x14ac:dyDescent="0.2">
      <c r="A139"/>
      <c r="B139"/>
      <c r="C139"/>
      <c r="D139"/>
      <c r="E139" s="7"/>
      <c r="F139"/>
      <c r="G139"/>
      <c r="H139" s="10"/>
      <c r="I139" s="10"/>
      <c r="J139" s="10"/>
      <c r="K139" s="10"/>
      <c r="L139" s="10"/>
      <c r="M139" s="51"/>
    </row>
    <row r="140" spans="1:13" x14ac:dyDescent="0.2">
      <c r="A140"/>
      <c r="B140"/>
      <c r="C140"/>
      <c r="D140"/>
      <c r="E140" s="7"/>
      <c r="F140"/>
      <c r="G140"/>
      <c r="H140" s="10"/>
      <c r="I140" s="10"/>
      <c r="J140" s="10"/>
      <c r="K140" s="10"/>
      <c r="L140" s="10"/>
      <c r="M140" s="51"/>
    </row>
    <row r="141" spans="1:13" x14ac:dyDescent="0.2">
      <c r="A141"/>
      <c r="B141"/>
      <c r="C141"/>
      <c r="D141"/>
      <c r="E141" s="7"/>
      <c r="F141"/>
      <c r="G141"/>
      <c r="H141" s="10"/>
      <c r="I141" s="10"/>
      <c r="J141" s="10"/>
      <c r="K141" s="10"/>
      <c r="L141" s="10"/>
      <c r="M141" s="51"/>
    </row>
    <row r="142" spans="1:13" x14ac:dyDescent="0.2">
      <c r="A142"/>
      <c r="B142"/>
      <c r="C142"/>
      <c r="D142"/>
      <c r="E142" s="7"/>
      <c r="F142"/>
      <c r="G142"/>
      <c r="H142" s="10"/>
      <c r="I142" s="10"/>
      <c r="J142" s="10"/>
      <c r="K142" s="10"/>
      <c r="L142" s="10"/>
      <c r="M142" s="51"/>
    </row>
    <row r="143" spans="1:13" x14ac:dyDescent="0.2">
      <c r="A143"/>
      <c r="B143"/>
      <c r="C143"/>
      <c r="D143"/>
      <c r="E143" s="7"/>
      <c r="F143"/>
      <c r="G143"/>
      <c r="H143" s="10"/>
      <c r="I143" s="10"/>
      <c r="J143" s="10"/>
      <c r="K143" s="10"/>
      <c r="L143" s="10"/>
      <c r="M143" s="51"/>
    </row>
    <row r="144" spans="1:13" x14ac:dyDescent="0.2">
      <c r="A144"/>
      <c r="B144"/>
      <c r="C144"/>
      <c r="D144"/>
      <c r="E144" s="7"/>
      <c r="F144"/>
      <c r="G144"/>
      <c r="H144" s="10"/>
      <c r="I144" s="10"/>
      <c r="J144" s="10"/>
      <c r="K144" s="10"/>
      <c r="L144" s="10"/>
      <c r="M144" s="51"/>
    </row>
    <row r="145" spans="1:13" x14ac:dyDescent="0.2">
      <c r="A145"/>
      <c r="B145"/>
      <c r="C145"/>
      <c r="D145"/>
      <c r="E145" s="7"/>
      <c r="F145"/>
      <c r="G145"/>
      <c r="H145" s="10"/>
      <c r="I145" s="10"/>
      <c r="J145" s="10"/>
      <c r="K145" s="10"/>
      <c r="L145" s="10"/>
      <c r="M145" s="51"/>
    </row>
    <row r="146" spans="1:13" x14ac:dyDescent="0.2">
      <c r="A146"/>
      <c r="B146"/>
      <c r="C146"/>
      <c r="D146"/>
      <c r="E146" s="7"/>
      <c r="F146"/>
      <c r="G146"/>
      <c r="H146" s="10"/>
      <c r="I146" s="10"/>
      <c r="J146" s="10"/>
      <c r="K146" s="10"/>
      <c r="L146" s="10"/>
      <c r="M146" s="51"/>
    </row>
    <row r="147" spans="1:13" x14ac:dyDescent="0.2">
      <c r="A147"/>
      <c r="B147"/>
      <c r="C147"/>
      <c r="D147"/>
      <c r="E147" s="7"/>
      <c r="F147"/>
      <c r="G147"/>
      <c r="H147" s="10"/>
      <c r="I147" s="10"/>
      <c r="J147" s="10"/>
      <c r="K147" s="10"/>
      <c r="L147" s="10"/>
      <c r="M147" s="51"/>
    </row>
    <row r="148" spans="1:13" x14ac:dyDescent="0.2">
      <c r="A148"/>
      <c r="B148"/>
      <c r="C148"/>
      <c r="D148"/>
      <c r="E148" s="7"/>
      <c r="F148"/>
      <c r="G148"/>
      <c r="H148" s="10"/>
      <c r="I148" s="10"/>
      <c r="J148" s="10"/>
      <c r="K148" s="10"/>
      <c r="L148" s="10"/>
      <c r="M148" s="51"/>
    </row>
    <row r="149" spans="1:13" x14ac:dyDescent="0.2">
      <c r="A149"/>
      <c r="B149"/>
      <c r="C149"/>
      <c r="D149"/>
      <c r="E149" s="7"/>
      <c r="F149"/>
      <c r="G149"/>
      <c r="H149" s="10"/>
      <c r="I149" s="10"/>
      <c r="J149" s="10"/>
      <c r="K149" s="10"/>
      <c r="L149" s="10"/>
      <c r="M149" s="51"/>
    </row>
    <row r="150" spans="1:13" x14ac:dyDescent="0.2">
      <c r="A150"/>
      <c r="B150"/>
      <c r="C150"/>
      <c r="D150"/>
      <c r="E150" s="7"/>
      <c r="F150"/>
      <c r="G150"/>
      <c r="H150" s="10"/>
      <c r="I150" s="10"/>
      <c r="J150" s="10"/>
      <c r="K150" s="10"/>
      <c r="L150" s="10"/>
      <c r="M150" s="51"/>
    </row>
    <row r="151" spans="1:13" x14ac:dyDescent="0.2">
      <c r="A151"/>
      <c r="B151"/>
      <c r="C151"/>
      <c r="D151"/>
      <c r="E151" s="7"/>
      <c r="F151"/>
      <c r="G151"/>
      <c r="H151" s="10"/>
      <c r="I151" s="10"/>
      <c r="J151" s="10"/>
      <c r="K151" s="10"/>
      <c r="L151" s="10"/>
      <c r="M151" s="51"/>
    </row>
    <row r="152" spans="1:13" x14ac:dyDescent="0.2">
      <c r="A152"/>
      <c r="B152"/>
      <c r="C152"/>
      <c r="D152"/>
      <c r="E152" s="7"/>
      <c r="F152"/>
      <c r="G152"/>
      <c r="H152" s="10"/>
      <c r="I152" s="10"/>
      <c r="J152" s="10"/>
      <c r="K152" s="10"/>
      <c r="L152" s="10"/>
      <c r="M152" s="51"/>
    </row>
    <row r="153" spans="1:13" x14ac:dyDescent="0.2">
      <c r="A153"/>
      <c r="B153"/>
      <c r="C153"/>
      <c r="D153"/>
      <c r="E153" s="7"/>
      <c r="F153"/>
      <c r="G153"/>
      <c r="H153" s="10"/>
      <c r="I153" s="10"/>
      <c r="J153" s="10"/>
      <c r="K153" s="10"/>
      <c r="L153" s="10"/>
      <c r="M153" s="51"/>
    </row>
    <row r="154" spans="1:13" x14ac:dyDescent="0.2">
      <c r="A154"/>
      <c r="B154"/>
      <c r="C154"/>
      <c r="D154"/>
      <c r="E154" s="7"/>
      <c r="F154"/>
      <c r="G154"/>
      <c r="H154" s="10"/>
      <c r="I154" s="10"/>
      <c r="J154" s="10"/>
      <c r="K154" s="10"/>
      <c r="L154" s="10"/>
      <c r="M154" s="51"/>
    </row>
    <row r="155" spans="1:13" x14ac:dyDescent="0.2">
      <c r="A155"/>
      <c r="B155"/>
      <c r="C155"/>
      <c r="D155"/>
      <c r="E155" s="7"/>
      <c r="F155"/>
      <c r="G155"/>
      <c r="H155" s="10"/>
      <c r="I155" s="10"/>
      <c r="J155" s="10"/>
      <c r="K155" s="10"/>
      <c r="L155" s="10"/>
      <c r="M155" s="51"/>
    </row>
    <row r="156" spans="1:13" x14ac:dyDescent="0.2">
      <c r="A156"/>
      <c r="B156"/>
      <c r="C156"/>
      <c r="D156"/>
      <c r="E156" s="7"/>
      <c r="F156"/>
      <c r="G156"/>
      <c r="H156" s="10"/>
      <c r="I156" s="10"/>
      <c r="J156" s="10"/>
      <c r="K156" s="10"/>
      <c r="L156" s="10"/>
      <c r="M156" s="51"/>
    </row>
    <row r="157" spans="1:13" x14ac:dyDescent="0.2">
      <c r="A157"/>
      <c r="B157"/>
      <c r="C157"/>
      <c r="D157"/>
      <c r="E157" s="7"/>
      <c r="F157"/>
      <c r="G157"/>
      <c r="H157" s="10"/>
      <c r="I157" s="10"/>
      <c r="J157" s="10"/>
      <c r="K157" s="10"/>
      <c r="L157" s="10"/>
      <c r="M157" s="51"/>
    </row>
    <row r="158" spans="1:13" x14ac:dyDescent="0.2">
      <c r="A158"/>
      <c r="B158"/>
      <c r="C158"/>
      <c r="D158"/>
      <c r="E158" s="7"/>
      <c r="F158"/>
      <c r="G158"/>
      <c r="H158" s="10"/>
      <c r="I158" s="10"/>
      <c r="J158" s="10"/>
      <c r="K158" s="10"/>
      <c r="L158" s="10"/>
      <c r="M158" s="51"/>
    </row>
    <row r="159" spans="1:13" x14ac:dyDescent="0.2">
      <c r="A159"/>
      <c r="B159"/>
      <c r="C159"/>
      <c r="D159"/>
      <c r="E159" s="7"/>
      <c r="F159"/>
      <c r="G159"/>
      <c r="H159" s="10"/>
      <c r="I159" s="10"/>
      <c r="J159" s="10"/>
      <c r="K159" s="10"/>
      <c r="L159" s="10"/>
      <c r="M159" s="51"/>
    </row>
    <row r="160" spans="1:13" x14ac:dyDescent="0.2">
      <c r="A160"/>
      <c r="B160"/>
      <c r="C160"/>
      <c r="D160"/>
      <c r="E160" s="7"/>
      <c r="F160"/>
      <c r="G160"/>
      <c r="H160" s="10"/>
      <c r="I160" s="10"/>
      <c r="J160" s="10"/>
      <c r="K160" s="10"/>
      <c r="L160" s="10"/>
      <c r="M160" s="51"/>
    </row>
    <row r="161" spans="1:13" x14ac:dyDescent="0.2">
      <c r="A161"/>
      <c r="B161"/>
      <c r="C161"/>
      <c r="D161"/>
      <c r="E161" s="7"/>
      <c r="F161"/>
      <c r="G161"/>
      <c r="H161" s="10"/>
      <c r="I161" s="10"/>
      <c r="J161" s="10"/>
      <c r="K161" s="10"/>
      <c r="L161" s="10"/>
      <c r="M161" s="51"/>
    </row>
    <row r="162" spans="1:13" x14ac:dyDescent="0.2">
      <c r="A162"/>
      <c r="B162"/>
      <c r="C162"/>
      <c r="D162"/>
      <c r="E162" s="7"/>
      <c r="F162"/>
      <c r="G162"/>
      <c r="H162" s="10"/>
      <c r="I162" s="10"/>
      <c r="J162" s="10"/>
      <c r="K162" s="10"/>
      <c r="L162" s="10"/>
      <c r="M162" s="51"/>
    </row>
    <row r="163" spans="1:13" x14ac:dyDescent="0.2">
      <c r="A163"/>
      <c r="B163"/>
      <c r="C163"/>
      <c r="D163"/>
      <c r="E163" s="7"/>
      <c r="F163"/>
      <c r="G163"/>
      <c r="H163" s="10"/>
      <c r="I163" s="10"/>
      <c r="J163" s="10"/>
      <c r="K163" s="10"/>
      <c r="L163" s="10"/>
      <c r="M163" s="51"/>
    </row>
    <row r="164" spans="1:13" x14ac:dyDescent="0.2">
      <c r="A164"/>
      <c r="B164"/>
      <c r="C164"/>
      <c r="D164"/>
      <c r="E164" s="7"/>
      <c r="F164"/>
      <c r="G164"/>
      <c r="H164" s="10"/>
      <c r="I164" s="10"/>
      <c r="J164" s="10"/>
      <c r="K164" s="10"/>
      <c r="L164" s="10"/>
      <c r="M164" s="51"/>
    </row>
    <row r="165" spans="1:13" x14ac:dyDescent="0.2">
      <c r="A165"/>
      <c r="B165"/>
      <c r="C165"/>
      <c r="D165"/>
      <c r="E165" s="7"/>
      <c r="F165"/>
      <c r="G165"/>
      <c r="H165" s="10"/>
      <c r="I165" s="10"/>
      <c r="J165" s="10"/>
      <c r="K165" s="10"/>
      <c r="L165" s="10"/>
      <c r="M165" s="51"/>
    </row>
    <row r="166" spans="1:13" x14ac:dyDescent="0.2">
      <c r="A166"/>
      <c r="B166"/>
      <c r="C166"/>
      <c r="D166"/>
      <c r="E166" s="7"/>
      <c r="F166"/>
      <c r="G166"/>
      <c r="H166" s="10"/>
      <c r="I166" s="10"/>
      <c r="J166" s="10"/>
      <c r="K166" s="10"/>
      <c r="L166" s="10"/>
      <c r="M166" s="51"/>
    </row>
    <row r="167" spans="1:13" x14ac:dyDescent="0.2">
      <c r="A167"/>
      <c r="B167"/>
      <c r="C167"/>
      <c r="D167"/>
      <c r="E167" s="7"/>
      <c r="F167"/>
      <c r="G167"/>
      <c r="H167" s="10"/>
      <c r="I167" s="10"/>
      <c r="J167" s="10"/>
      <c r="K167" s="10"/>
      <c r="L167" s="10"/>
      <c r="M167" s="51"/>
    </row>
    <row r="168" spans="1:13" x14ac:dyDescent="0.2">
      <c r="A168"/>
      <c r="B168"/>
      <c r="C168"/>
      <c r="D168"/>
      <c r="E168" s="7"/>
      <c r="F168"/>
      <c r="G168"/>
      <c r="H168" s="10"/>
      <c r="I168" s="10"/>
      <c r="J168" s="10"/>
      <c r="K168" s="10"/>
      <c r="L168" s="10"/>
      <c r="M168" s="51"/>
    </row>
    <row r="169" spans="1:13" x14ac:dyDescent="0.2">
      <c r="A169"/>
      <c r="B169"/>
      <c r="C169"/>
      <c r="D169"/>
      <c r="E169" s="7"/>
      <c r="F169"/>
      <c r="G169"/>
      <c r="H169" s="10"/>
      <c r="I169" s="10"/>
      <c r="J169" s="10"/>
      <c r="K169" s="10"/>
      <c r="L169" s="10"/>
      <c r="M169" s="51"/>
    </row>
    <row r="170" spans="1:13" x14ac:dyDescent="0.2">
      <c r="A170"/>
      <c r="B170"/>
      <c r="C170"/>
      <c r="D170"/>
      <c r="E170" s="7"/>
      <c r="F170"/>
      <c r="G170"/>
      <c r="H170" s="10"/>
      <c r="I170" s="10"/>
      <c r="J170" s="10"/>
      <c r="K170" s="10"/>
      <c r="L170" s="10"/>
      <c r="M170" s="51"/>
    </row>
    <row r="171" spans="1:13" x14ac:dyDescent="0.2">
      <c r="A171"/>
      <c r="B171"/>
      <c r="C171"/>
      <c r="D171"/>
      <c r="E171" s="7"/>
      <c r="F171"/>
      <c r="G171"/>
      <c r="H171" s="10"/>
      <c r="I171" s="10"/>
      <c r="J171" s="10"/>
      <c r="K171" s="10"/>
      <c r="L171" s="10"/>
      <c r="M171" s="51"/>
    </row>
    <row r="172" spans="1:13" x14ac:dyDescent="0.2">
      <c r="A172"/>
      <c r="B172"/>
      <c r="C172"/>
      <c r="D172"/>
      <c r="E172" s="7"/>
      <c r="F172"/>
      <c r="G172"/>
      <c r="H172" s="10"/>
      <c r="I172" s="10"/>
      <c r="J172" s="10"/>
      <c r="K172" s="10"/>
      <c r="L172" s="10"/>
      <c r="M172" s="51"/>
    </row>
    <row r="173" spans="1:13" x14ac:dyDescent="0.2">
      <c r="A173"/>
      <c r="B173"/>
      <c r="C173"/>
      <c r="D173"/>
      <c r="E173" s="7"/>
      <c r="F173"/>
      <c r="G173"/>
      <c r="H173" s="10"/>
      <c r="I173" s="10"/>
      <c r="J173" s="10"/>
      <c r="K173" s="10"/>
      <c r="L173" s="10"/>
      <c r="M173" s="51"/>
    </row>
    <row r="174" spans="1:13" x14ac:dyDescent="0.2">
      <c r="A174"/>
      <c r="B174"/>
      <c r="C174"/>
      <c r="D174"/>
      <c r="E174" s="7"/>
      <c r="F174"/>
      <c r="G174"/>
      <c r="H174" s="10"/>
      <c r="I174" s="10"/>
      <c r="J174" s="10"/>
      <c r="K174" s="10"/>
      <c r="L174" s="10"/>
      <c r="M174" s="51"/>
    </row>
    <row r="175" spans="1:13" x14ac:dyDescent="0.2">
      <c r="A175"/>
      <c r="B175"/>
      <c r="C175"/>
      <c r="D175"/>
      <c r="E175" s="7"/>
      <c r="F175"/>
      <c r="G175"/>
      <c r="H175" s="10"/>
      <c r="I175" s="10"/>
      <c r="J175" s="10"/>
      <c r="K175" s="10"/>
      <c r="L175" s="10"/>
      <c r="M175" s="51"/>
    </row>
    <row r="176" spans="1:13" x14ac:dyDescent="0.2">
      <c r="A176"/>
      <c r="B176"/>
      <c r="C176"/>
      <c r="D176"/>
      <c r="E176" s="7"/>
      <c r="F176"/>
      <c r="G176"/>
      <c r="H176" s="10"/>
      <c r="I176" s="10"/>
      <c r="J176" s="10"/>
      <c r="K176" s="10"/>
      <c r="L176" s="10"/>
      <c r="M176" s="51"/>
    </row>
    <row r="177" spans="1:13" x14ac:dyDescent="0.2">
      <c r="A177"/>
      <c r="B177"/>
      <c r="C177"/>
      <c r="D177"/>
      <c r="E177" s="7"/>
      <c r="F177"/>
      <c r="G177"/>
      <c r="H177" s="10"/>
      <c r="I177" s="10"/>
      <c r="J177" s="10"/>
      <c r="K177" s="10"/>
      <c r="L177" s="10"/>
      <c r="M177" s="51"/>
    </row>
    <row r="178" spans="1:13" x14ac:dyDescent="0.2">
      <c r="A178"/>
      <c r="B178"/>
      <c r="C178"/>
      <c r="D178"/>
      <c r="E178" s="7"/>
      <c r="F178"/>
      <c r="G178"/>
      <c r="H178" s="10"/>
      <c r="I178" s="10"/>
      <c r="J178" s="10"/>
      <c r="K178" s="10"/>
      <c r="L178" s="10"/>
      <c r="M178" s="51"/>
    </row>
    <row r="179" spans="1:13" x14ac:dyDescent="0.2">
      <c r="A179"/>
      <c r="B179"/>
      <c r="C179"/>
      <c r="D179"/>
      <c r="E179" s="7"/>
      <c r="F179"/>
      <c r="G179"/>
      <c r="H179" s="10"/>
      <c r="I179" s="10"/>
      <c r="J179" s="10"/>
      <c r="K179" s="10"/>
      <c r="L179" s="10"/>
      <c r="M179" s="51"/>
    </row>
    <row r="180" spans="1:13" x14ac:dyDescent="0.2">
      <c r="A180"/>
      <c r="B180"/>
      <c r="C180"/>
      <c r="D180"/>
      <c r="E180" s="7"/>
      <c r="F180"/>
      <c r="G180"/>
      <c r="H180" s="10"/>
      <c r="I180" s="10"/>
      <c r="J180" s="10"/>
      <c r="K180" s="10"/>
      <c r="L180" s="10"/>
      <c r="M180" s="51"/>
    </row>
    <row r="181" spans="1:13" x14ac:dyDescent="0.2">
      <c r="A181"/>
      <c r="B181"/>
      <c r="C181"/>
      <c r="D181"/>
      <c r="E181" s="7"/>
      <c r="F181"/>
      <c r="G181"/>
      <c r="H181" s="10"/>
      <c r="I181" s="10"/>
      <c r="J181" s="10"/>
      <c r="K181" s="10"/>
      <c r="L181" s="10"/>
      <c r="M181" s="51"/>
    </row>
    <row r="182" spans="1:13" x14ac:dyDescent="0.2">
      <c r="A182"/>
      <c r="B182"/>
      <c r="C182"/>
      <c r="D182"/>
      <c r="E182" s="7"/>
      <c r="F182"/>
      <c r="G182"/>
      <c r="H182" s="10"/>
      <c r="I182" s="10"/>
      <c r="J182" s="10"/>
      <c r="K182" s="10"/>
      <c r="L182" s="10"/>
      <c r="M182" s="51"/>
    </row>
    <row r="183" spans="1:13" x14ac:dyDescent="0.2">
      <c r="A183"/>
      <c r="B183"/>
      <c r="C183"/>
      <c r="D183"/>
      <c r="E183" s="7"/>
      <c r="F183"/>
      <c r="G183"/>
      <c r="H183" s="10"/>
      <c r="I183" s="10"/>
      <c r="J183" s="10"/>
      <c r="K183" s="10"/>
      <c r="L183" s="10"/>
      <c r="M183" s="51"/>
    </row>
    <row r="184" spans="1:13" x14ac:dyDescent="0.2">
      <c r="A184"/>
      <c r="B184"/>
      <c r="C184"/>
      <c r="D184"/>
      <c r="E184" s="7"/>
      <c r="F184"/>
      <c r="G184"/>
      <c r="H184" s="10"/>
      <c r="I184" s="10"/>
      <c r="J184" s="10"/>
      <c r="K184" s="10"/>
      <c r="L184" s="10"/>
      <c r="M184" s="51"/>
    </row>
    <row r="185" spans="1:13" x14ac:dyDescent="0.2">
      <c r="A185"/>
      <c r="B185"/>
      <c r="C185"/>
      <c r="D185"/>
      <c r="E185" s="7"/>
      <c r="F185"/>
      <c r="G185"/>
      <c r="H185" s="10"/>
      <c r="I185" s="10"/>
      <c r="J185" s="10"/>
      <c r="K185" s="10"/>
      <c r="L185" s="10"/>
      <c r="M185" s="51"/>
    </row>
    <row r="186" spans="1:13" x14ac:dyDescent="0.2">
      <c r="A186"/>
      <c r="B186"/>
      <c r="C186"/>
      <c r="D186"/>
      <c r="E186" s="7"/>
      <c r="F186"/>
      <c r="G186"/>
      <c r="H186" s="10"/>
      <c r="I186" s="10"/>
      <c r="J186" s="10"/>
      <c r="K186" s="10"/>
      <c r="L186" s="10"/>
      <c r="M186" s="51"/>
    </row>
    <row r="187" spans="1:13" x14ac:dyDescent="0.2">
      <c r="A187"/>
      <c r="B187"/>
      <c r="C187"/>
      <c r="D187"/>
      <c r="E187" s="7"/>
      <c r="F187"/>
      <c r="G187"/>
      <c r="H187" s="10"/>
      <c r="I187" s="10"/>
      <c r="J187" s="10"/>
      <c r="K187" s="10"/>
      <c r="L187" s="10"/>
      <c r="M187" s="51"/>
    </row>
    <row r="188" spans="1:13" x14ac:dyDescent="0.2">
      <c r="A188"/>
      <c r="B188"/>
      <c r="C188"/>
      <c r="D188"/>
      <c r="E188" s="7"/>
      <c r="F188"/>
      <c r="G188"/>
      <c r="H188" s="10"/>
      <c r="I188" s="10"/>
      <c r="J188" s="10"/>
      <c r="K188" s="10"/>
      <c r="L188" s="10"/>
      <c r="M188" s="51"/>
    </row>
    <row r="189" spans="1:13" x14ac:dyDescent="0.2">
      <c r="A189"/>
      <c r="B189"/>
      <c r="C189"/>
      <c r="D189"/>
      <c r="E189" s="7"/>
      <c r="F189"/>
      <c r="G189"/>
      <c r="H189" s="10"/>
      <c r="I189" s="10"/>
      <c r="J189" s="10"/>
      <c r="K189" s="10"/>
      <c r="L189" s="10"/>
      <c r="M189" s="51"/>
    </row>
    <row r="190" spans="1:13" x14ac:dyDescent="0.2">
      <c r="A190"/>
      <c r="B190"/>
      <c r="C190"/>
      <c r="D190"/>
      <c r="E190" s="7"/>
      <c r="F190"/>
      <c r="G190"/>
      <c r="H190" s="10"/>
      <c r="I190" s="10"/>
      <c r="J190" s="10"/>
      <c r="K190" s="10"/>
      <c r="L190" s="10"/>
      <c r="M190" s="51"/>
    </row>
    <row r="191" spans="1:13" x14ac:dyDescent="0.2">
      <c r="A191"/>
      <c r="B191"/>
      <c r="C191"/>
      <c r="D191"/>
      <c r="E191" s="7"/>
      <c r="F191"/>
      <c r="G191"/>
      <c r="H191" s="10"/>
      <c r="I191" s="10"/>
      <c r="J191" s="10"/>
      <c r="K191" s="10"/>
      <c r="L191" s="10"/>
      <c r="M191" s="51"/>
    </row>
    <row r="192" spans="1:13" x14ac:dyDescent="0.2">
      <c r="A192"/>
      <c r="B192"/>
      <c r="C192"/>
      <c r="D192"/>
      <c r="E192" s="7"/>
      <c r="F192"/>
      <c r="G192"/>
      <c r="H192" s="10"/>
      <c r="I192" s="10"/>
      <c r="J192" s="10"/>
      <c r="K192" s="10"/>
      <c r="L192" s="10"/>
      <c r="M192" s="51"/>
    </row>
    <row r="193" spans="1:13" x14ac:dyDescent="0.2">
      <c r="A193"/>
      <c r="B193"/>
      <c r="C193"/>
      <c r="D193"/>
      <c r="E193" s="7"/>
      <c r="F193"/>
      <c r="G193"/>
      <c r="H193" s="10"/>
      <c r="I193" s="10"/>
      <c r="J193" s="10"/>
      <c r="K193" s="10"/>
      <c r="L193" s="10"/>
      <c r="M193" s="51"/>
    </row>
    <row r="194" spans="1:13" x14ac:dyDescent="0.2">
      <c r="A194"/>
      <c r="B194"/>
      <c r="C194"/>
      <c r="D194"/>
      <c r="E194" s="7"/>
      <c r="F194"/>
      <c r="G194"/>
      <c r="H194" s="10"/>
      <c r="I194" s="10"/>
      <c r="J194" s="10"/>
      <c r="K194" s="10"/>
      <c r="L194" s="10"/>
      <c r="M194" s="51"/>
    </row>
    <row r="195" spans="1:13" x14ac:dyDescent="0.2">
      <c r="A195"/>
      <c r="B195"/>
      <c r="C195"/>
      <c r="D195"/>
      <c r="E195" s="7"/>
      <c r="F195"/>
      <c r="G195"/>
      <c r="H195" s="10"/>
      <c r="I195" s="10"/>
      <c r="J195" s="10"/>
      <c r="K195" s="10"/>
      <c r="L195" s="10"/>
      <c r="M195" s="51"/>
    </row>
    <row r="196" spans="1:13" x14ac:dyDescent="0.2">
      <c r="A196"/>
      <c r="B196"/>
      <c r="C196"/>
      <c r="D196"/>
      <c r="E196" s="7"/>
      <c r="F196"/>
      <c r="G196"/>
      <c r="H196" s="10"/>
      <c r="I196" s="10"/>
      <c r="J196" s="10"/>
      <c r="K196" s="10"/>
      <c r="L196" s="10"/>
      <c r="M196" s="51"/>
    </row>
    <row r="197" spans="1:13" x14ac:dyDescent="0.2">
      <c r="A197"/>
      <c r="B197"/>
      <c r="C197"/>
      <c r="D197"/>
      <c r="E197" s="7"/>
      <c r="F197"/>
      <c r="G197"/>
      <c r="H197" s="10"/>
      <c r="I197" s="10"/>
      <c r="J197" s="10"/>
      <c r="K197" s="10"/>
      <c r="L197" s="10"/>
      <c r="M197" s="51"/>
    </row>
    <row r="198" spans="1:13" x14ac:dyDescent="0.2">
      <c r="A198"/>
      <c r="B198"/>
      <c r="C198"/>
      <c r="D198"/>
      <c r="E198" s="7"/>
      <c r="F198"/>
      <c r="G198"/>
      <c r="H198" s="10"/>
      <c r="I198" s="10"/>
      <c r="J198" s="10"/>
      <c r="K198" s="10"/>
      <c r="L198" s="10"/>
      <c r="M198" s="51"/>
    </row>
    <row r="199" spans="1:13" x14ac:dyDescent="0.2">
      <c r="A199"/>
      <c r="B199"/>
      <c r="C199"/>
      <c r="D199"/>
      <c r="E199" s="7"/>
      <c r="F199"/>
      <c r="G199"/>
      <c r="H199" s="10"/>
      <c r="I199" s="10"/>
      <c r="J199" s="10"/>
      <c r="K199" s="10"/>
      <c r="L199" s="10"/>
      <c r="M199" s="51"/>
    </row>
    <row r="200" spans="1:13" x14ac:dyDescent="0.2">
      <c r="A200"/>
      <c r="B200"/>
      <c r="C200"/>
      <c r="D200"/>
      <c r="E200" s="7"/>
      <c r="F200"/>
      <c r="G200"/>
      <c r="H200" s="10"/>
      <c r="I200" s="10"/>
      <c r="J200" s="10"/>
      <c r="K200" s="10"/>
      <c r="L200" s="10"/>
      <c r="M200" s="51"/>
    </row>
    <row r="201" spans="1:13" x14ac:dyDescent="0.2">
      <c r="A201"/>
      <c r="B201"/>
      <c r="C201"/>
      <c r="D201"/>
      <c r="E201" s="7"/>
      <c r="F201"/>
      <c r="G201"/>
      <c r="H201" s="10"/>
      <c r="I201" s="10"/>
      <c r="J201" s="10"/>
      <c r="K201" s="10"/>
      <c r="L201" s="10"/>
      <c r="M201" s="51"/>
    </row>
    <row r="202" spans="1:13" x14ac:dyDescent="0.2">
      <c r="A202"/>
      <c r="B202"/>
      <c r="C202"/>
      <c r="D202"/>
      <c r="E202" s="7"/>
      <c r="F202"/>
      <c r="G202"/>
      <c r="H202" s="10"/>
      <c r="I202" s="10"/>
      <c r="J202" s="10"/>
      <c r="K202" s="10"/>
      <c r="L202" s="10"/>
      <c r="M202" s="51"/>
    </row>
    <row r="203" spans="1:13" x14ac:dyDescent="0.2">
      <c r="A203"/>
      <c r="B203"/>
      <c r="C203"/>
      <c r="D203"/>
      <c r="E203" s="7"/>
      <c r="F203"/>
      <c r="G203"/>
      <c r="H203" s="10"/>
      <c r="I203" s="10"/>
      <c r="J203" s="10"/>
      <c r="K203" s="10"/>
      <c r="L203" s="10"/>
      <c r="M203" s="51"/>
    </row>
    <row r="204" spans="1:13" x14ac:dyDescent="0.2">
      <c r="A204"/>
      <c r="B204"/>
      <c r="C204"/>
      <c r="D204"/>
      <c r="E204" s="7"/>
      <c r="F204"/>
      <c r="G204"/>
      <c r="H204" s="10"/>
      <c r="I204" s="10"/>
      <c r="J204" s="10"/>
      <c r="K204" s="10"/>
      <c r="L204" s="10"/>
      <c r="M204" s="51"/>
    </row>
    <row r="205" spans="1:13" x14ac:dyDescent="0.2">
      <c r="A205"/>
      <c r="B205"/>
      <c r="C205"/>
      <c r="D205"/>
      <c r="E205" s="7"/>
      <c r="F205"/>
      <c r="G205"/>
      <c r="H205" s="10"/>
      <c r="I205" s="10"/>
      <c r="J205" s="10"/>
      <c r="K205" s="10"/>
      <c r="L205" s="10"/>
      <c r="M205" s="51"/>
    </row>
    <row r="206" spans="1:13" x14ac:dyDescent="0.2">
      <c r="A206"/>
      <c r="B206"/>
      <c r="C206"/>
      <c r="D206"/>
      <c r="E206" s="7"/>
      <c r="F206"/>
      <c r="G206"/>
      <c r="H206" s="10"/>
      <c r="I206" s="10"/>
      <c r="J206" s="10"/>
      <c r="K206" s="10"/>
      <c r="L206" s="10"/>
      <c r="M206" s="51"/>
    </row>
    <row r="207" spans="1:13" x14ac:dyDescent="0.2">
      <c r="A207"/>
      <c r="B207"/>
      <c r="C207"/>
      <c r="D207"/>
      <c r="E207" s="7"/>
      <c r="F207"/>
      <c r="G207"/>
      <c r="H207" s="10"/>
      <c r="I207" s="10"/>
      <c r="J207" s="10"/>
      <c r="K207" s="10"/>
      <c r="L207" s="10"/>
      <c r="M207" s="51"/>
    </row>
    <row r="208" spans="1:13" x14ac:dyDescent="0.2">
      <c r="A208"/>
      <c r="B208"/>
      <c r="C208"/>
      <c r="D208"/>
      <c r="E208" s="7"/>
      <c r="F208"/>
      <c r="G208"/>
      <c r="H208" s="10"/>
      <c r="I208" s="10"/>
      <c r="J208" s="10"/>
      <c r="K208" s="10"/>
      <c r="L208" s="10"/>
      <c r="M208" s="51"/>
    </row>
    <row r="209" spans="1:13" x14ac:dyDescent="0.2">
      <c r="A209"/>
      <c r="B209"/>
      <c r="C209"/>
      <c r="D209"/>
      <c r="E209" s="7"/>
      <c r="F209"/>
      <c r="G209"/>
      <c r="H209" s="10"/>
      <c r="I209" s="10"/>
      <c r="J209" s="10"/>
      <c r="K209" s="10"/>
      <c r="L209" s="10"/>
      <c r="M209" s="51"/>
    </row>
    <row r="210" spans="1:13" x14ac:dyDescent="0.2">
      <c r="A210"/>
      <c r="B210"/>
      <c r="C210"/>
      <c r="D210"/>
      <c r="E210" s="7"/>
      <c r="F210"/>
      <c r="G210"/>
      <c r="H210" s="10"/>
      <c r="I210" s="10"/>
      <c r="J210" s="10"/>
      <c r="K210" s="10"/>
      <c r="L210" s="10"/>
      <c r="M210" s="51"/>
    </row>
    <row r="211" spans="1:13" x14ac:dyDescent="0.2">
      <c r="A211"/>
      <c r="B211"/>
      <c r="C211"/>
      <c r="D211"/>
      <c r="E211" s="7"/>
      <c r="F211"/>
      <c r="G211"/>
      <c r="H211" s="10"/>
      <c r="I211" s="10"/>
      <c r="J211" s="10"/>
      <c r="K211" s="10"/>
      <c r="L211" s="10"/>
      <c r="M211" s="51"/>
    </row>
    <row r="212" spans="1:13" x14ac:dyDescent="0.2">
      <c r="A212"/>
      <c r="B212"/>
      <c r="C212"/>
      <c r="D212"/>
      <c r="E212" s="7"/>
      <c r="F212"/>
      <c r="G212"/>
      <c r="H212" s="10"/>
      <c r="I212" s="10"/>
      <c r="J212" s="10"/>
      <c r="K212" s="10"/>
      <c r="L212" s="10"/>
      <c r="M212" s="51"/>
    </row>
    <row r="213" spans="1:13" x14ac:dyDescent="0.2">
      <c r="A213"/>
      <c r="B213"/>
      <c r="C213"/>
      <c r="D213"/>
      <c r="E213" s="7"/>
      <c r="F213"/>
      <c r="G213"/>
      <c r="H213" s="10"/>
      <c r="I213" s="10"/>
      <c r="J213" s="10"/>
      <c r="K213" s="10"/>
      <c r="L213" s="10"/>
      <c r="M213" s="51"/>
    </row>
    <row r="214" spans="1:13" x14ac:dyDescent="0.2">
      <c r="A214"/>
      <c r="B214"/>
      <c r="C214"/>
      <c r="D214"/>
      <c r="E214" s="7"/>
      <c r="F214"/>
      <c r="G214"/>
      <c r="H214" s="10"/>
      <c r="I214" s="10"/>
      <c r="J214" s="10"/>
      <c r="K214" s="10"/>
      <c r="L214" s="10"/>
      <c r="M214" s="51"/>
    </row>
    <row r="215" spans="1:13" x14ac:dyDescent="0.2">
      <c r="A215"/>
      <c r="B215"/>
      <c r="C215"/>
      <c r="D215"/>
      <c r="E215" s="7"/>
      <c r="F215"/>
      <c r="G215"/>
      <c r="H215" s="10"/>
      <c r="I215" s="10"/>
      <c r="J215" s="10"/>
      <c r="K215" s="10"/>
      <c r="L215" s="10"/>
      <c r="M215" s="51"/>
    </row>
    <row r="216" spans="1:13" x14ac:dyDescent="0.2">
      <c r="A216"/>
      <c r="B216"/>
      <c r="C216"/>
      <c r="D216"/>
      <c r="E216" s="7"/>
      <c r="F216"/>
      <c r="G216"/>
      <c r="H216" s="10"/>
      <c r="I216" s="10"/>
      <c r="J216" s="10"/>
      <c r="K216" s="10"/>
      <c r="L216" s="10"/>
      <c r="M216" s="51"/>
    </row>
    <row r="217" spans="1:13" x14ac:dyDescent="0.2">
      <c r="A217"/>
      <c r="B217"/>
      <c r="C217"/>
      <c r="D217"/>
      <c r="E217" s="7"/>
      <c r="F217"/>
      <c r="G217"/>
      <c r="H217" s="10"/>
      <c r="I217" s="10"/>
      <c r="J217" s="10"/>
      <c r="K217" s="10"/>
      <c r="L217" s="10"/>
      <c r="M217" s="51"/>
    </row>
    <row r="218" spans="1:13" x14ac:dyDescent="0.2">
      <c r="A218"/>
      <c r="B218"/>
      <c r="C218"/>
      <c r="D218"/>
      <c r="E218" s="7"/>
      <c r="F218"/>
      <c r="G218"/>
      <c r="H218" s="10"/>
      <c r="I218" s="10"/>
      <c r="J218" s="10"/>
      <c r="K218" s="10"/>
      <c r="L218" s="10"/>
      <c r="M218" s="51"/>
    </row>
    <row r="219" spans="1:13" x14ac:dyDescent="0.2">
      <c r="A219"/>
      <c r="B219"/>
      <c r="C219"/>
      <c r="D219"/>
      <c r="E219" s="7"/>
      <c r="F219"/>
      <c r="G219"/>
      <c r="H219" s="10"/>
      <c r="I219" s="10"/>
      <c r="J219" s="10"/>
      <c r="K219" s="10"/>
      <c r="L219" s="10"/>
      <c r="M219" s="51"/>
    </row>
    <row r="220" spans="1:13" x14ac:dyDescent="0.2">
      <c r="A220"/>
      <c r="B220"/>
      <c r="C220"/>
      <c r="D220"/>
      <c r="E220" s="7"/>
      <c r="F220"/>
      <c r="G220"/>
      <c r="H220" s="10"/>
      <c r="I220" s="10"/>
      <c r="J220" s="10"/>
      <c r="K220" s="10"/>
      <c r="L220" s="10"/>
      <c r="M220" s="51"/>
    </row>
    <row r="221" spans="1:13" x14ac:dyDescent="0.2">
      <c r="A221"/>
      <c r="B221"/>
      <c r="C221"/>
      <c r="D221"/>
      <c r="E221" s="7"/>
      <c r="F221"/>
      <c r="G221"/>
      <c r="H221" s="10"/>
      <c r="I221" s="10"/>
      <c r="J221" s="10"/>
      <c r="K221" s="10"/>
      <c r="L221" s="10"/>
      <c r="M221" s="51"/>
    </row>
    <row r="222" spans="1:13" x14ac:dyDescent="0.2">
      <c r="A222"/>
      <c r="B222"/>
      <c r="C222"/>
      <c r="D222"/>
      <c r="E222" s="7"/>
      <c r="F222"/>
      <c r="G222"/>
      <c r="H222" s="10"/>
      <c r="I222" s="10"/>
      <c r="J222" s="10"/>
      <c r="K222" s="10"/>
      <c r="L222" s="10"/>
      <c r="M222" s="51"/>
    </row>
    <row r="223" spans="1:13" x14ac:dyDescent="0.2">
      <c r="A223"/>
      <c r="B223"/>
      <c r="C223"/>
      <c r="D223"/>
      <c r="E223" s="7"/>
      <c r="F223"/>
      <c r="G223"/>
      <c r="H223" s="10"/>
      <c r="I223" s="10"/>
      <c r="J223" s="10"/>
      <c r="K223" s="10"/>
      <c r="L223" s="10"/>
      <c r="M223" s="51"/>
    </row>
    <row r="224" spans="1:13" x14ac:dyDescent="0.2">
      <c r="A224"/>
      <c r="B224"/>
      <c r="C224"/>
      <c r="D224"/>
      <c r="E224" s="7"/>
      <c r="F224"/>
      <c r="G224"/>
      <c r="H224" s="10"/>
      <c r="I224" s="10"/>
      <c r="J224" s="10"/>
      <c r="K224" s="10"/>
      <c r="L224" s="10"/>
      <c r="M224" s="51"/>
    </row>
    <row r="225" spans="1:13" x14ac:dyDescent="0.2">
      <c r="A225"/>
      <c r="B225"/>
      <c r="C225"/>
      <c r="D225"/>
      <c r="E225" s="7"/>
      <c r="F225"/>
      <c r="G225"/>
      <c r="H225" s="10"/>
      <c r="I225" s="10"/>
      <c r="J225" s="10"/>
      <c r="K225" s="10"/>
      <c r="L225" s="10"/>
      <c r="M225" s="51"/>
    </row>
    <row r="226" spans="1:13" x14ac:dyDescent="0.2">
      <c r="A226"/>
      <c r="B226"/>
      <c r="C226"/>
      <c r="D226"/>
      <c r="E226" s="7"/>
      <c r="F226"/>
      <c r="G226"/>
      <c r="H226" s="10"/>
      <c r="I226" s="10"/>
      <c r="J226" s="10"/>
      <c r="K226" s="10"/>
      <c r="L226" s="10"/>
      <c r="M226" s="51"/>
    </row>
    <row r="227" spans="1:13" x14ac:dyDescent="0.2">
      <c r="A227"/>
      <c r="B227"/>
      <c r="C227"/>
      <c r="D227"/>
      <c r="E227" s="7"/>
      <c r="F227"/>
      <c r="G227"/>
      <c r="H227" s="10"/>
      <c r="I227" s="10"/>
      <c r="J227" s="10"/>
      <c r="K227" s="10"/>
      <c r="L227" s="10"/>
      <c r="M227" s="51"/>
    </row>
    <row r="228" spans="1:13" x14ac:dyDescent="0.2">
      <c r="A228"/>
      <c r="B228"/>
      <c r="C228"/>
      <c r="D228"/>
      <c r="E228" s="7"/>
      <c r="F228"/>
      <c r="G228"/>
      <c r="H228" s="10"/>
      <c r="I228" s="10"/>
      <c r="J228" s="10"/>
      <c r="K228" s="10"/>
      <c r="L228" s="10"/>
      <c r="M228" s="51"/>
    </row>
    <row r="229" spans="1:13" x14ac:dyDescent="0.2">
      <c r="A229"/>
      <c r="B229"/>
      <c r="C229"/>
      <c r="D229"/>
      <c r="E229" s="7"/>
      <c r="F229"/>
      <c r="G229"/>
      <c r="H229" s="10"/>
      <c r="I229" s="10"/>
      <c r="J229" s="10"/>
      <c r="K229" s="10"/>
      <c r="L229" s="10"/>
      <c r="M229" s="51"/>
    </row>
    <row r="230" spans="1:13" x14ac:dyDescent="0.2">
      <c r="A230"/>
      <c r="B230"/>
      <c r="C230"/>
      <c r="D230"/>
      <c r="E230" s="7"/>
      <c r="F230"/>
      <c r="G230"/>
      <c r="H230" s="10"/>
      <c r="I230" s="10"/>
      <c r="J230" s="10"/>
      <c r="K230" s="10"/>
      <c r="L230" s="10"/>
      <c r="M230" s="51"/>
    </row>
    <row r="231" spans="1:13" x14ac:dyDescent="0.2">
      <c r="A231"/>
      <c r="B231"/>
      <c r="C231"/>
      <c r="D231"/>
      <c r="E231" s="7"/>
      <c r="F231"/>
      <c r="G231"/>
      <c r="H231" s="10"/>
      <c r="I231" s="10"/>
      <c r="J231" s="10"/>
      <c r="K231" s="10"/>
      <c r="L231" s="10"/>
      <c r="M231" s="51"/>
    </row>
    <row r="232" spans="1:13" x14ac:dyDescent="0.2">
      <c r="A232"/>
      <c r="B232"/>
      <c r="C232"/>
      <c r="D232"/>
      <c r="E232" s="7"/>
      <c r="F232"/>
      <c r="G232"/>
      <c r="H232" s="10"/>
      <c r="I232" s="10"/>
      <c r="J232" s="10"/>
      <c r="K232" s="10"/>
      <c r="L232" s="10"/>
      <c r="M232" s="51"/>
    </row>
    <row r="233" spans="1:13" x14ac:dyDescent="0.2">
      <c r="A233"/>
      <c r="B233"/>
      <c r="C233"/>
      <c r="D233"/>
      <c r="E233" s="7"/>
      <c r="F233"/>
      <c r="G233"/>
      <c r="H233" s="10"/>
      <c r="I233" s="10"/>
      <c r="J233" s="10"/>
      <c r="K233" s="10"/>
      <c r="L233" s="10"/>
      <c r="M233" s="51"/>
    </row>
    <row r="234" spans="1:13" x14ac:dyDescent="0.2">
      <c r="A234"/>
      <c r="B234"/>
      <c r="C234"/>
      <c r="D234"/>
      <c r="E234" s="7"/>
      <c r="F234"/>
      <c r="G234"/>
      <c r="H234" s="10"/>
      <c r="I234" s="10"/>
      <c r="J234" s="10"/>
      <c r="K234" s="10"/>
      <c r="L234" s="10"/>
      <c r="M234" s="51"/>
    </row>
    <row r="235" spans="1:13" x14ac:dyDescent="0.2">
      <c r="A235"/>
      <c r="B235"/>
      <c r="C235"/>
      <c r="D235"/>
      <c r="E235" s="7"/>
      <c r="F235"/>
      <c r="G235"/>
      <c r="H235" s="10"/>
      <c r="I235" s="10"/>
      <c r="J235" s="10"/>
      <c r="K235" s="10"/>
      <c r="L235" s="10"/>
      <c r="M235" s="51"/>
    </row>
    <row r="236" spans="1:13" x14ac:dyDescent="0.2">
      <c r="A236"/>
      <c r="B236"/>
      <c r="C236"/>
      <c r="D236"/>
      <c r="E236" s="7"/>
      <c r="F236"/>
      <c r="G236"/>
      <c r="H236" s="10"/>
      <c r="I236" s="10"/>
      <c r="J236" s="10"/>
      <c r="K236" s="10"/>
      <c r="L236" s="10"/>
      <c r="M236" s="51"/>
    </row>
    <row r="237" spans="1:13" x14ac:dyDescent="0.2">
      <c r="A237"/>
      <c r="B237"/>
      <c r="C237"/>
      <c r="D237"/>
      <c r="E237" s="7"/>
      <c r="F237"/>
      <c r="G237"/>
      <c r="H237" s="10"/>
      <c r="I237" s="10"/>
      <c r="J237" s="10"/>
      <c r="K237" s="10"/>
      <c r="L237" s="10"/>
      <c r="M237" s="51"/>
    </row>
    <row r="238" spans="1:13" x14ac:dyDescent="0.2">
      <c r="A238"/>
      <c r="B238"/>
      <c r="C238"/>
      <c r="D238"/>
      <c r="E238" s="7"/>
      <c r="F238"/>
      <c r="G238"/>
      <c r="H238" s="10"/>
      <c r="I238" s="10"/>
      <c r="J238" s="10"/>
      <c r="K238" s="10"/>
      <c r="L238" s="10"/>
      <c r="M238" s="51"/>
    </row>
    <row r="239" spans="1:13" x14ac:dyDescent="0.2">
      <c r="A239"/>
      <c r="B239"/>
      <c r="C239"/>
      <c r="D239"/>
      <c r="E239" s="7"/>
      <c r="F239"/>
      <c r="G239"/>
      <c r="H239" s="10"/>
      <c r="I239" s="10"/>
      <c r="J239" s="10"/>
      <c r="K239" s="10"/>
      <c r="L239" s="10"/>
      <c r="M239" s="51"/>
    </row>
    <row r="240" spans="1:13" x14ac:dyDescent="0.2">
      <c r="A240"/>
      <c r="B240"/>
      <c r="C240"/>
      <c r="D240"/>
      <c r="E240" s="7"/>
      <c r="F240"/>
      <c r="G240"/>
      <c r="H240" s="10"/>
      <c r="I240" s="10"/>
      <c r="J240" s="10"/>
      <c r="K240" s="10"/>
      <c r="L240" s="10"/>
      <c r="M240" s="51"/>
    </row>
  </sheetData>
  <autoFilter ref="A1:M240"/>
  <pageMargins left="0.75" right="0.75" top="1" bottom="1" header="0.5" footer="0.5"/>
  <pageSetup scale="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241"/>
  <sheetViews>
    <sheetView tabSelected="1" zoomScale="130" zoomScaleNormal="130" workbookViewId="0">
      <pane ySplit="1" topLeftCell="A140" activePane="bottomLeft" state="frozen"/>
      <selection activeCell="L2" sqref="L2"/>
      <selection pane="bottomLeft" activeCell="D158" sqref="D158"/>
    </sheetView>
  </sheetViews>
  <sheetFormatPr defaultColWidth="9.140625" defaultRowHeight="12.75" x14ac:dyDescent="0.2"/>
  <cols>
    <col min="1" max="1" width="10.140625" style="3" customWidth="1"/>
    <col min="2" max="2" width="25.7109375" style="3" customWidth="1"/>
    <col min="3" max="3" width="10.85546875" style="3" bestFit="1" customWidth="1"/>
    <col min="4" max="4" width="13.7109375" style="3" customWidth="1"/>
    <col min="5" max="5" width="11.42578125" style="8" customWidth="1"/>
    <col min="6" max="7" width="8" style="3" customWidth="1"/>
    <col min="8" max="8" width="8" style="11" customWidth="1"/>
    <col min="9" max="9" width="10.5703125" style="11" customWidth="1"/>
    <col min="10" max="10" width="15.28515625" style="28" customWidth="1"/>
    <col min="11" max="11" width="9.140625" style="28" customWidth="1"/>
    <col min="12" max="12" width="8" style="28" customWidth="1"/>
    <col min="13" max="13" width="116.28515625" style="82" customWidth="1"/>
    <col min="14" max="14" width="27.85546875" style="14" bestFit="1" customWidth="1"/>
    <col min="15" max="16384" width="9.140625" style="3"/>
  </cols>
  <sheetData>
    <row r="1" spans="1:14" s="1" customFormat="1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1" t="s">
        <v>5</v>
      </c>
      <c r="G1" s="1" t="s">
        <v>6</v>
      </c>
      <c r="H1" s="9" t="s">
        <v>7</v>
      </c>
      <c r="I1" s="30" t="s">
        <v>8</v>
      </c>
      <c r="J1" s="30" t="s">
        <v>9</v>
      </c>
      <c r="K1" s="25" t="s">
        <v>10</v>
      </c>
      <c r="L1" s="16" t="s">
        <v>11</v>
      </c>
      <c r="M1" s="77" t="s">
        <v>12</v>
      </c>
      <c r="N1" s="13"/>
    </row>
    <row r="2" spans="1:14" x14ac:dyDescent="0.2">
      <c r="A2" t="s">
        <v>81</v>
      </c>
      <c r="B2" t="s">
        <v>82</v>
      </c>
      <c r="C2" s="5">
        <v>43508</v>
      </c>
      <c r="D2" s="2" t="s">
        <v>15</v>
      </c>
      <c r="E2" s="7">
        <v>29457</v>
      </c>
      <c r="F2"/>
      <c r="G2"/>
      <c r="H2" s="19">
        <f>4.2-7</f>
        <v>-2.8</v>
      </c>
      <c r="I2" s="35">
        <v>143</v>
      </c>
      <c r="J2" s="31">
        <v>144.4</v>
      </c>
      <c r="K2" s="34">
        <f>J2-I2</f>
        <v>1.4000000000000057</v>
      </c>
      <c r="L2" s="34"/>
      <c r="M2" s="2" t="s">
        <v>16</v>
      </c>
      <c r="N2" s="3"/>
    </row>
    <row r="3" spans="1:14" x14ac:dyDescent="0.2">
      <c r="A3" t="s">
        <v>81</v>
      </c>
      <c r="B3" t="s">
        <v>82</v>
      </c>
      <c r="C3" s="5">
        <v>43508</v>
      </c>
      <c r="D3" s="2" t="s">
        <v>17</v>
      </c>
      <c r="E3" s="7">
        <v>27047</v>
      </c>
      <c r="F3"/>
      <c r="G3"/>
      <c r="H3" s="19">
        <f>1.5-2.96</f>
        <v>-1.46</v>
      </c>
      <c r="I3" s="19"/>
      <c r="J3" s="27"/>
      <c r="K3" s="27"/>
      <c r="L3" s="27"/>
      <c r="M3" s="51" t="s">
        <v>18</v>
      </c>
    </row>
    <row r="4" spans="1:14" x14ac:dyDescent="0.2">
      <c r="A4" t="s">
        <v>81</v>
      </c>
      <c r="B4" t="s">
        <v>82</v>
      </c>
      <c r="C4" s="5">
        <v>43508</v>
      </c>
      <c r="D4" s="2" t="s">
        <v>44</v>
      </c>
      <c r="E4" s="7">
        <v>14794</v>
      </c>
      <c r="F4"/>
      <c r="G4"/>
      <c r="H4" s="62">
        <f>H17</f>
        <v>-2.0392999999999999</v>
      </c>
      <c r="I4" s="33">
        <v>169.8</v>
      </c>
      <c r="J4" s="27">
        <v>166.4</v>
      </c>
      <c r="K4" s="34">
        <f>J4-I4</f>
        <v>-3.4000000000000057</v>
      </c>
      <c r="L4" s="48">
        <f>-(940-36)</f>
        <v>-904</v>
      </c>
      <c r="M4" s="81" t="s">
        <v>83</v>
      </c>
      <c r="N4" s="17"/>
    </row>
    <row r="5" spans="1:14" x14ac:dyDescent="0.2">
      <c r="A5" t="s">
        <v>81</v>
      </c>
      <c r="B5" t="s">
        <v>82</v>
      </c>
      <c r="C5" s="5">
        <v>43508</v>
      </c>
      <c r="D5" s="2" t="s">
        <v>84</v>
      </c>
      <c r="E5" s="7">
        <v>31275</v>
      </c>
      <c r="F5"/>
      <c r="G5"/>
      <c r="H5" s="10">
        <f>H4-0.1</f>
        <v>-2.1393</v>
      </c>
      <c r="I5" s="10"/>
      <c r="J5" s="27"/>
      <c r="K5" s="27"/>
      <c r="L5" s="27"/>
      <c r="M5" s="81" t="s">
        <v>85</v>
      </c>
      <c r="N5" s="17"/>
    </row>
    <row r="6" spans="1:14" x14ac:dyDescent="0.2">
      <c r="A6" t="s">
        <v>81</v>
      </c>
      <c r="B6" t="s">
        <v>82</v>
      </c>
      <c r="C6" s="5">
        <v>43508</v>
      </c>
      <c r="D6" s="2" t="s">
        <v>19</v>
      </c>
      <c r="E6" s="12">
        <v>2105</v>
      </c>
      <c r="F6"/>
      <c r="G6"/>
      <c r="H6" s="10"/>
      <c r="I6" s="10"/>
      <c r="J6" s="27"/>
      <c r="K6" s="27"/>
      <c r="L6" s="27"/>
      <c r="M6" s="51"/>
      <c r="N6" s="17"/>
    </row>
    <row r="7" spans="1:14" x14ac:dyDescent="0.2">
      <c r="A7" t="s">
        <v>81</v>
      </c>
      <c r="B7" t="s">
        <v>82</v>
      </c>
      <c r="C7" s="5">
        <v>43508</v>
      </c>
      <c r="D7" s="2" t="s">
        <v>20</v>
      </c>
      <c r="E7" s="12"/>
      <c r="F7"/>
      <c r="G7"/>
      <c r="H7" s="10">
        <v>-0.34</v>
      </c>
      <c r="I7" s="10"/>
      <c r="J7" s="27"/>
      <c r="K7" s="27"/>
      <c r="L7" s="27"/>
      <c r="M7" s="81"/>
    </row>
    <row r="8" spans="1:14" x14ac:dyDescent="0.2">
      <c r="A8" t="s">
        <v>81</v>
      </c>
      <c r="B8" t="s">
        <v>82</v>
      </c>
      <c r="C8" s="5">
        <v>43508</v>
      </c>
      <c r="D8" s="2" t="s">
        <v>21</v>
      </c>
      <c r="E8" s="12"/>
      <c r="F8">
        <v>156334</v>
      </c>
      <c r="G8">
        <v>516322</v>
      </c>
      <c r="H8" s="10">
        <v>2.59</v>
      </c>
      <c r="I8" s="10"/>
      <c r="J8" s="27"/>
      <c r="K8" s="27"/>
      <c r="L8" s="27"/>
      <c r="M8" s="51"/>
    </row>
    <row r="9" spans="1:14" x14ac:dyDescent="0.2">
      <c r="A9" t="s">
        <v>81</v>
      </c>
      <c r="B9" t="s">
        <v>82</v>
      </c>
      <c r="C9" s="5">
        <v>43521</v>
      </c>
      <c r="D9" s="41" t="s">
        <v>21</v>
      </c>
      <c r="E9" s="7"/>
      <c r="F9">
        <v>156334</v>
      </c>
      <c r="G9">
        <v>516322</v>
      </c>
      <c r="H9" s="10">
        <v>2.46</v>
      </c>
      <c r="I9" s="10"/>
      <c r="J9" s="27"/>
      <c r="K9" s="27"/>
      <c r="L9" s="27"/>
      <c r="M9" s="51" t="s">
        <v>86</v>
      </c>
    </row>
    <row r="10" spans="1:14" x14ac:dyDescent="0.2">
      <c r="A10" t="s">
        <v>81</v>
      </c>
      <c r="B10" t="s">
        <v>82</v>
      </c>
      <c r="C10" s="5">
        <v>43521</v>
      </c>
      <c r="D10" s="2" t="s">
        <v>44</v>
      </c>
      <c r="E10" s="7">
        <v>14794</v>
      </c>
      <c r="F10"/>
      <c r="G10"/>
      <c r="H10" s="62">
        <f>H17</f>
        <v>-2.0392999999999999</v>
      </c>
      <c r="I10" s="33">
        <v>169.8</v>
      </c>
      <c r="J10" s="27">
        <v>166.4</v>
      </c>
      <c r="K10" s="34">
        <f>J10-I10</f>
        <v>-3.4000000000000057</v>
      </c>
      <c r="L10" s="48">
        <f>-(940-36)</f>
        <v>-904</v>
      </c>
      <c r="M10" s="51" t="s">
        <v>87</v>
      </c>
    </row>
    <row r="11" spans="1:14" x14ac:dyDescent="0.2">
      <c r="A11" t="s">
        <v>81</v>
      </c>
      <c r="B11" t="s">
        <v>82</v>
      </c>
      <c r="C11" s="5">
        <v>43521</v>
      </c>
      <c r="D11" s="2" t="s">
        <v>84</v>
      </c>
      <c r="E11" s="7">
        <v>31275</v>
      </c>
      <c r="F11"/>
      <c r="G11"/>
      <c r="H11" s="10">
        <f>H10-0.1</f>
        <v>-2.1393</v>
      </c>
      <c r="I11" s="10"/>
      <c r="J11" s="27"/>
      <c r="K11" s="27"/>
      <c r="L11" s="27"/>
      <c r="M11" s="81" t="s">
        <v>88</v>
      </c>
    </row>
    <row r="12" spans="1:14" x14ac:dyDescent="0.2">
      <c r="A12" t="s">
        <v>81</v>
      </c>
      <c r="B12" t="s">
        <v>82</v>
      </c>
      <c r="C12" s="5">
        <v>43543</v>
      </c>
      <c r="D12" s="3" t="s">
        <v>17</v>
      </c>
      <c r="E12" s="7">
        <v>27047</v>
      </c>
      <c r="F12"/>
      <c r="G12"/>
      <c r="H12" s="19">
        <f>1.5-2.967</f>
        <v>-1.4670000000000001</v>
      </c>
      <c r="I12" s="10"/>
      <c r="J12" s="10"/>
      <c r="K12" s="10"/>
      <c r="L12" s="10"/>
      <c r="M12" s="85" t="s">
        <v>26</v>
      </c>
    </row>
    <row r="13" spans="1:14" x14ac:dyDescent="0.2">
      <c r="A13" t="s">
        <v>81</v>
      </c>
      <c r="B13" t="s">
        <v>82</v>
      </c>
      <c r="C13" s="40">
        <v>43550</v>
      </c>
      <c r="D13" s="41" t="s">
        <v>23</v>
      </c>
      <c r="E13" s="42"/>
      <c r="F13" s="20"/>
      <c r="G13" s="20"/>
      <c r="H13" s="19">
        <v>-2.8712</v>
      </c>
      <c r="I13" s="10"/>
      <c r="J13" s="27"/>
      <c r="K13" s="27"/>
      <c r="L13" s="27"/>
      <c r="M13" s="85" t="s">
        <v>89</v>
      </c>
    </row>
    <row r="14" spans="1:14" x14ac:dyDescent="0.2">
      <c r="A14" t="s">
        <v>81</v>
      </c>
      <c r="B14" t="s">
        <v>82</v>
      </c>
      <c r="C14" s="40">
        <v>43550</v>
      </c>
      <c r="D14" s="41" t="s">
        <v>15</v>
      </c>
      <c r="E14" s="7">
        <v>29457</v>
      </c>
      <c r="F14" s="20"/>
      <c r="G14" s="20"/>
      <c r="H14" s="19">
        <f>H144+0.181</f>
        <v>-2.6673999999999998</v>
      </c>
      <c r="I14" s="10"/>
      <c r="J14" s="27"/>
      <c r="K14" s="27"/>
      <c r="L14" s="27"/>
      <c r="M14" s="51"/>
    </row>
    <row r="15" spans="1:14" x14ac:dyDescent="0.2">
      <c r="A15" t="s">
        <v>81</v>
      </c>
      <c r="B15" t="s">
        <v>82</v>
      </c>
      <c r="C15" s="40">
        <v>43550</v>
      </c>
      <c r="D15" s="41" t="s">
        <v>21</v>
      </c>
      <c r="E15" s="42"/>
      <c r="F15">
        <v>156334</v>
      </c>
      <c r="G15">
        <v>516322</v>
      </c>
      <c r="H15" s="19">
        <v>2.4217</v>
      </c>
      <c r="I15" s="10"/>
      <c r="J15" s="27"/>
      <c r="K15" s="27"/>
      <c r="L15" s="27"/>
      <c r="M15" s="51" t="s">
        <v>76</v>
      </c>
    </row>
    <row r="16" spans="1:14" x14ac:dyDescent="0.2">
      <c r="A16" t="s">
        <v>81</v>
      </c>
      <c r="B16" t="s">
        <v>82</v>
      </c>
      <c r="C16" s="40">
        <v>43550</v>
      </c>
      <c r="D16" s="41" t="s">
        <v>17</v>
      </c>
      <c r="E16" s="7">
        <v>27047</v>
      </c>
      <c r="F16" s="20"/>
      <c r="G16" s="20"/>
      <c r="H16" s="19">
        <f>1.4306-2.967</f>
        <v>-1.5364</v>
      </c>
      <c r="I16" s="10"/>
      <c r="J16" s="27"/>
      <c r="K16" s="27"/>
      <c r="L16" s="27"/>
      <c r="M16" s="51"/>
    </row>
    <row r="17" spans="1:14" x14ac:dyDescent="0.2">
      <c r="A17" t="s">
        <v>81</v>
      </c>
      <c r="B17" t="s">
        <v>82</v>
      </c>
      <c r="C17" s="40">
        <v>43550</v>
      </c>
      <c r="D17" s="2" t="s">
        <v>44</v>
      </c>
      <c r="E17" s="7">
        <v>14794</v>
      </c>
      <c r="F17"/>
      <c r="G17"/>
      <c r="H17" s="10">
        <f>0.3557-1.45- 0.945</f>
        <v>-2.0392999999999999</v>
      </c>
      <c r="I17" s="33">
        <v>169.8</v>
      </c>
      <c r="J17" s="27">
        <v>166.4</v>
      </c>
      <c r="K17" s="34">
        <f>J17-I17</f>
        <v>-3.4000000000000057</v>
      </c>
      <c r="L17" s="48">
        <f>-(940-36)</f>
        <v>-904</v>
      </c>
      <c r="M17" s="51"/>
    </row>
    <row r="18" spans="1:14" x14ac:dyDescent="0.2">
      <c r="A18" t="s">
        <v>81</v>
      </c>
      <c r="B18" t="s">
        <v>82</v>
      </c>
      <c r="C18" s="40">
        <v>43550</v>
      </c>
      <c r="D18" s="2" t="s">
        <v>84</v>
      </c>
      <c r="E18" s="7">
        <v>31275</v>
      </c>
      <c r="F18"/>
      <c r="G18"/>
      <c r="H18" s="10">
        <f>H17-0.1</f>
        <v>-2.1393</v>
      </c>
      <c r="I18" s="10"/>
      <c r="J18" s="27"/>
      <c r="K18" s="27"/>
      <c r="L18" s="27"/>
      <c r="M18" s="51"/>
    </row>
    <row r="19" spans="1:14" x14ac:dyDescent="0.2">
      <c r="A19" t="s">
        <v>81</v>
      </c>
      <c r="B19" t="s">
        <v>82</v>
      </c>
      <c r="C19" s="40">
        <v>43571</v>
      </c>
      <c r="D19" s="41" t="s">
        <v>21</v>
      </c>
      <c r="E19" s="42"/>
      <c r="F19">
        <v>156334</v>
      </c>
      <c r="G19">
        <v>516322</v>
      </c>
      <c r="H19" s="19">
        <v>2.4398</v>
      </c>
      <c r="I19" s="10"/>
      <c r="J19" s="27"/>
      <c r="K19" s="27"/>
      <c r="L19" s="27"/>
      <c r="M19" s="51"/>
    </row>
    <row r="20" spans="1:14" x14ac:dyDescent="0.2">
      <c r="A20" t="s">
        <v>81</v>
      </c>
      <c r="B20" t="s">
        <v>82</v>
      </c>
      <c r="C20" s="40">
        <v>43571</v>
      </c>
      <c r="D20" s="41" t="s">
        <v>17</v>
      </c>
      <c r="E20" s="7">
        <v>27047</v>
      </c>
      <c r="F20" s="20"/>
      <c r="G20" s="20"/>
      <c r="H20" s="70">
        <f>1.4814-2.967</f>
        <v>-1.4856</v>
      </c>
      <c r="I20" s="10"/>
      <c r="J20" s="27"/>
      <c r="K20" s="27"/>
      <c r="L20" s="27"/>
      <c r="M20" s="51"/>
    </row>
    <row r="21" spans="1:14" x14ac:dyDescent="0.2">
      <c r="A21" t="s">
        <v>81</v>
      </c>
      <c r="B21" t="s">
        <v>82</v>
      </c>
      <c r="C21" s="40">
        <v>43571</v>
      </c>
      <c r="D21" s="2" t="s">
        <v>44</v>
      </c>
      <c r="E21" s="7">
        <v>14794</v>
      </c>
      <c r="F21"/>
      <c r="G21"/>
      <c r="H21" s="10">
        <f>0.741-1.82- 0.945</f>
        <v>-2.024</v>
      </c>
      <c r="I21" s="33">
        <v>169.8</v>
      </c>
      <c r="J21" s="27">
        <v>166.4</v>
      </c>
      <c r="K21" s="34">
        <f>J21-I21</f>
        <v>-3.4000000000000057</v>
      </c>
      <c r="L21" s="48">
        <f>-(940-36)</f>
        <v>-904</v>
      </c>
      <c r="M21" s="51"/>
    </row>
    <row r="22" spans="1:14" x14ac:dyDescent="0.2">
      <c r="A22" t="s">
        <v>81</v>
      </c>
      <c r="B22" t="s">
        <v>82</v>
      </c>
      <c r="C22" s="40">
        <v>43571</v>
      </c>
      <c r="D22" s="2" t="s">
        <v>84</v>
      </c>
      <c r="E22" s="7">
        <v>31275</v>
      </c>
      <c r="F22"/>
      <c r="G22"/>
      <c r="H22" s="10">
        <f>H21-0.1</f>
        <v>-2.1240000000000001</v>
      </c>
      <c r="I22" s="10"/>
      <c r="J22" s="27"/>
      <c r="K22" s="27"/>
      <c r="L22" s="27"/>
      <c r="M22" s="51"/>
    </row>
    <row r="23" spans="1:14" x14ac:dyDescent="0.2">
      <c r="A23" t="s">
        <v>81</v>
      </c>
      <c r="B23" t="s">
        <v>82</v>
      </c>
      <c r="C23" s="40">
        <v>43605</v>
      </c>
      <c r="D23" s="41" t="s">
        <v>21</v>
      </c>
      <c r="E23" s="42"/>
      <c r="F23">
        <v>156334</v>
      </c>
      <c r="G23">
        <v>516322</v>
      </c>
      <c r="H23" s="19">
        <v>2.4430999999999998</v>
      </c>
      <c r="I23" s="10"/>
      <c r="J23" s="27"/>
      <c r="K23" s="27"/>
      <c r="L23" s="27"/>
      <c r="M23" s="51"/>
    </row>
    <row r="24" spans="1:14" x14ac:dyDescent="0.2">
      <c r="A24" t="s">
        <v>81</v>
      </c>
      <c r="B24" t="s">
        <v>82</v>
      </c>
      <c r="C24" s="40">
        <v>43605</v>
      </c>
      <c r="D24" s="41" t="s">
        <v>17</v>
      </c>
      <c r="E24" s="7">
        <v>27047</v>
      </c>
      <c r="F24" s="20"/>
      <c r="G24" s="20"/>
      <c r="H24" s="19">
        <f>1.4273-2.967</f>
        <v>-1.5397000000000001</v>
      </c>
      <c r="I24" s="10"/>
      <c r="J24" s="27"/>
      <c r="K24" s="27"/>
      <c r="L24" s="27"/>
      <c r="M24" s="51"/>
    </row>
    <row r="25" spans="1:14" x14ac:dyDescent="0.2">
      <c r="A25" t="s">
        <v>81</v>
      </c>
      <c r="B25" t="s">
        <v>82</v>
      </c>
      <c r="C25" s="40">
        <v>43605</v>
      </c>
      <c r="D25" s="41" t="s">
        <v>23</v>
      </c>
      <c r="E25" s="42"/>
      <c r="F25" s="20"/>
      <c r="G25" s="20"/>
      <c r="H25" s="19">
        <v>-2.9599000000000002</v>
      </c>
      <c r="I25" s="10"/>
      <c r="J25" s="27"/>
      <c r="K25" s="27"/>
      <c r="L25" s="27"/>
      <c r="M25" s="51" t="s">
        <v>29</v>
      </c>
    </row>
    <row r="26" spans="1:14" x14ac:dyDescent="0.2">
      <c r="A26" t="s">
        <v>81</v>
      </c>
      <c r="B26" t="s">
        <v>82</v>
      </c>
      <c r="C26" s="40">
        <v>43633</v>
      </c>
      <c r="D26" s="41" t="s">
        <v>21</v>
      </c>
      <c r="E26" s="42"/>
      <c r="F26">
        <v>156334</v>
      </c>
      <c r="G26">
        <v>516322</v>
      </c>
      <c r="H26" s="19">
        <v>2.4430999999999998</v>
      </c>
      <c r="I26" s="10"/>
      <c r="J26" s="27"/>
      <c r="K26" s="27"/>
      <c r="L26" s="27"/>
      <c r="M26" s="45">
        <v>2.4327999999999999</v>
      </c>
    </row>
    <row r="27" spans="1:14" x14ac:dyDescent="0.2">
      <c r="A27" t="s">
        <v>81</v>
      </c>
      <c r="B27" t="s">
        <v>82</v>
      </c>
      <c r="C27" s="40">
        <v>43633</v>
      </c>
      <c r="D27" s="41" t="s">
        <v>17</v>
      </c>
      <c r="E27" s="7">
        <v>27047</v>
      </c>
      <c r="F27" s="20"/>
      <c r="G27" s="20"/>
      <c r="H27" s="19">
        <f>1.4273-2.967</f>
        <v>-1.5397000000000001</v>
      </c>
      <c r="I27" s="10"/>
      <c r="J27" s="27"/>
      <c r="K27" s="27"/>
      <c r="L27" s="27"/>
      <c r="M27" s="45">
        <f>1.4224-2.967</f>
        <v>-1.5446</v>
      </c>
    </row>
    <row r="28" spans="1:14" x14ac:dyDescent="0.2">
      <c r="A28" t="s">
        <v>81</v>
      </c>
      <c r="B28" t="s">
        <v>82</v>
      </c>
      <c r="C28" s="40">
        <v>43633</v>
      </c>
      <c r="D28" s="2" t="s">
        <v>44</v>
      </c>
      <c r="E28" s="7">
        <v>14794</v>
      </c>
      <c r="F28"/>
      <c r="G28"/>
      <c r="H28" s="10">
        <f>0.741-1.82- 0.945</f>
        <v>-2.024</v>
      </c>
      <c r="I28" s="33">
        <v>169.8</v>
      </c>
      <c r="J28" s="27">
        <v>166.4</v>
      </c>
      <c r="K28" s="34">
        <f>J28-I28</f>
        <v>-3.4000000000000057</v>
      </c>
      <c r="L28" s="48">
        <f>-(940-36)</f>
        <v>-904</v>
      </c>
      <c r="M28" s="46">
        <f>0.7551-1.83- 0.945</f>
        <v>-2.0198999999999998</v>
      </c>
    </row>
    <row r="29" spans="1:14" x14ac:dyDescent="0.2">
      <c r="A29" t="s">
        <v>81</v>
      </c>
      <c r="B29" t="s">
        <v>82</v>
      </c>
      <c r="C29" s="40">
        <v>43633</v>
      </c>
      <c r="D29" s="2" t="s">
        <v>84</v>
      </c>
      <c r="E29" s="7">
        <v>31275</v>
      </c>
      <c r="F29"/>
      <c r="G29"/>
      <c r="H29" s="10">
        <f>H28-0.1</f>
        <v>-2.1240000000000001</v>
      </c>
      <c r="I29" s="10"/>
      <c r="J29" s="27"/>
      <c r="K29" s="27"/>
      <c r="L29" s="27"/>
      <c r="M29" s="46">
        <f>M28-0.1</f>
        <v>-2.1198999999999999</v>
      </c>
    </row>
    <row r="30" spans="1:14" x14ac:dyDescent="0.2">
      <c r="A30" t="s">
        <v>81</v>
      </c>
      <c r="B30" t="s">
        <v>82</v>
      </c>
      <c r="C30" s="40">
        <v>43633</v>
      </c>
      <c r="D30" s="41" t="s">
        <v>23</v>
      </c>
      <c r="E30" s="42"/>
      <c r="F30"/>
      <c r="G30"/>
      <c r="H30" s="19">
        <v>-2.9599000000000002</v>
      </c>
      <c r="I30" s="10"/>
      <c r="J30" s="27"/>
      <c r="K30" s="27"/>
      <c r="L30" s="27"/>
      <c r="M30" s="45">
        <v>-2.97</v>
      </c>
    </row>
    <row r="31" spans="1:14" s="4" customFormat="1" x14ac:dyDescent="0.2">
      <c r="A31" t="s">
        <v>81</v>
      </c>
      <c r="B31" t="s">
        <v>82</v>
      </c>
      <c r="C31" s="40">
        <v>43633</v>
      </c>
      <c r="D31" s="41" t="s">
        <v>15</v>
      </c>
      <c r="E31" s="7">
        <v>29457</v>
      </c>
      <c r="F31"/>
      <c r="G31"/>
      <c r="H31" s="19">
        <f>H30+0.181</f>
        <v>-2.7789000000000001</v>
      </c>
      <c r="I31" s="10"/>
      <c r="J31" s="27"/>
      <c r="K31" s="27"/>
      <c r="L31" s="27"/>
      <c r="M31" s="45">
        <f>M30+0.181</f>
        <v>-2.7890000000000001</v>
      </c>
      <c r="N31" s="15"/>
    </row>
    <row r="32" spans="1:14" x14ac:dyDescent="0.2">
      <c r="A32" t="s">
        <v>81</v>
      </c>
      <c r="B32" t="s">
        <v>82</v>
      </c>
      <c r="C32" s="40">
        <v>43690</v>
      </c>
      <c r="D32" s="41" t="s">
        <v>21</v>
      </c>
      <c r="E32" s="42"/>
      <c r="F32">
        <v>156334</v>
      </c>
      <c r="G32">
        <v>516322</v>
      </c>
      <c r="H32" s="19">
        <v>2.4430999999999998</v>
      </c>
      <c r="I32" s="10"/>
      <c r="J32" s="27"/>
      <c r="K32" s="41"/>
      <c r="L32" s="41"/>
      <c r="M32" s="45"/>
    </row>
    <row r="33" spans="1:13" x14ac:dyDescent="0.2">
      <c r="A33" t="s">
        <v>81</v>
      </c>
      <c r="B33" t="s">
        <v>82</v>
      </c>
      <c r="C33" s="40">
        <v>43690</v>
      </c>
      <c r="D33" s="41" t="s">
        <v>17</v>
      </c>
      <c r="E33" s="7">
        <v>27047</v>
      </c>
      <c r="F33" s="20"/>
      <c r="G33"/>
      <c r="H33" s="19">
        <f>1.43-2.967</f>
        <v>-1.5370000000000001</v>
      </c>
      <c r="I33" s="10"/>
      <c r="J33" s="27"/>
      <c r="K33" s="41"/>
      <c r="L33" s="41"/>
      <c r="M33" s="45"/>
    </row>
    <row r="34" spans="1:13" x14ac:dyDescent="0.2">
      <c r="A34" t="s">
        <v>81</v>
      </c>
      <c r="B34" t="s">
        <v>82</v>
      </c>
      <c r="C34" s="40">
        <v>43690</v>
      </c>
      <c r="D34" s="2" t="s">
        <v>44</v>
      </c>
      <c r="E34" s="7">
        <v>14794</v>
      </c>
      <c r="F34"/>
      <c r="G34"/>
      <c r="H34" s="10">
        <f>0.731-1.82- 0.945</f>
        <v>-2.0339999999999998</v>
      </c>
      <c r="I34" s="33">
        <v>169.8</v>
      </c>
      <c r="J34" s="27">
        <v>166.4</v>
      </c>
      <c r="K34" s="34">
        <f>J34-I34</f>
        <v>-3.4000000000000057</v>
      </c>
      <c r="L34" s="48">
        <f>-(940-36)</f>
        <v>-904</v>
      </c>
      <c r="M34" s="46"/>
    </row>
    <row r="35" spans="1:13" x14ac:dyDescent="0.2">
      <c r="A35" t="s">
        <v>81</v>
      </c>
      <c r="B35" t="s">
        <v>82</v>
      </c>
      <c r="C35" s="40">
        <v>43690</v>
      </c>
      <c r="D35" s="2" t="s">
        <v>84</v>
      </c>
      <c r="E35" s="7">
        <v>31275</v>
      </c>
      <c r="F35"/>
      <c r="G35"/>
      <c r="H35" s="10">
        <f>H34-0.1</f>
        <v>-2.1339999999999999</v>
      </c>
      <c r="I35" s="10"/>
      <c r="J35" s="27"/>
      <c r="K35" s="2"/>
      <c r="L35" s="2"/>
      <c r="M35" s="46"/>
    </row>
    <row r="36" spans="1:13" x14ac:dyDescent="0.2">
      <c r="A36" t="s">
        <v>81</v>
      </c>
      <c r="B36" t="s">
        <v>82</v>
      </c>
      <c r="C36" s="40">
        <v>43690</v>
      </c>
      <c r="D36" s="41" t="s">
        <v>23</v>
      </c>
      <c r="E36" s="42"/>
      <c r="F36"/>
      <c r="G36"/>
      <c r="H36" s="19">
        <v>-2.93</v>
      </c>
      <c r="I36" s="10"/>
      <c r="J36" s="27"/>
      <c r="K36" s="41"/>
      <c r="L36" s="41"/>
      <c r="M36" s="45"/>
    </row>
    <row r="37" spans="1:13" x14ac:dyDescent="0.2">
      <c r="A37" t="s">
        <v>81</v>
      </c>
      <c r="B37" t="s">
        <v>82</v>
      </c>
      <c r="C37" s="40">
        <v>43690</v>
      </c>
      <c r="D37" s="41" t="s">
        <v>15</v>
      </c>
      <c r="E37" s="7">
        <v>29457</v>
      </c>
      <c r="F37"/>
      <c r="G37"/>
      <c r="H37" s="19">
        <f>H36+0.181</f>
        <v>-2.7490000000000001</v>
      </c>
      <c r="I37" s="10"/>
      <c r="J37" s="27"/>
      <c r="K37" s="41"/>
      <c r="L37" s="41"/>
      <c r="M37" s="45"/>
    </row>
    <row r="38" spans="1:13" x14ac:dyDescent="0.2">
      <c r="A38" t="s">
        <v>81</v>
      </c>
      <c r="B38" t="s">
        <v>82</v>
      </c>
      <c r="C38" s="40">
        <v>43718</v>
      </c>
      <c r="D38" s="41" t="s">
        <v>21</v>
      </c>
      <c r="E38" s="42"/>
      <c r="F38">
        <v>156334</v>
      </c>
      <c r="G38">
        <v>516322</v>
      </c>
      <c r="H38" s="19">
        <v>2.4430999999999998</v>
      </c>
      <c r="I38" s="10"/>
      <c r="J38" s="27"/>
      <c r="K38" s="27"/>
      <c r="L38" s="27"/>
      <c r="M38" s="45" t="s">
        <v>90</v>
      </c>
    </row>
    <row r="39" spans="1:13" x14ac:dyDescent="0.2">
      <c r="A39" t="s">
        <v>81</v>
      </c>
      <c r="B39" t="s">
        <v>82</v>
      </c>
      <c r="C39" s="40">
        <v>43718</v>
      </c>
      <c r="D39" s="41" t="s">
        <v>17</v>
      </c>
      <c r="E39" s="7">
        <v>27047</v>
      </c>
      <c r="F39" s="20"/>
      <c r="G39"/>
      <c r="H39" s="19">
        <f>1.43-2.967</f>
        <v>-1.5370000000000001</v>
      </c>
      <c r="I39" s="10"/>
      <c r="J39" s="27"/>
      <c r="K39" s="27"/>
      <c r="L39" s="27"/>
      <c r="M39" s="45" t="s">
        <v>90</v>
      </c>
    </row>
    <row r="40" spans="1:13" x14ac:dyDescent="0.2">
      <c r="A40" t="s">
        <v>81</v>
      </c>
      <c r="B40" t="s">
        <v>82</v>
      </c>
      <c r="C40" s="40">
        <v>43718</v>
      </c>
      <c r="D40" s="2" t="s">
        <v>44</v>
      </c>
      <c r="E40" s="7">
        <v>14794</v>
      </c>
      <c r="F40"/>
      <c r="G40"/>
      <c r="H40" s="10">
        <f>0.731-1.82- 0.945</f>
        <v>-2.0339999999999998</v>
      </c>
      <c r="I40" s="33">
        <v>169.8</v>
      </c>
      <c r="J40" s="27">
        <v>166.4</v>
      </c>
      <c r="K40" s="34">
        <f>J40-I40</f>
        <v>-3.4000000000000057</v>
      </c>
      <c r="L40" s="48">
        <f>-(940-36)</f>
        <v>-904</v>
      </c>
      <c r="M40" s="45" t="s">
        <v>90</v>
      </c>
    </row>
    <row r="41" spans="1:13" x14ac:dyDescent="0.2">
      <c r="A41" t="s">
        <v>81</v>
      </c>
      <c r="B41" t="s">
        <v>82</v>
      </c>
      <c r="C41" s="40">
        <v>43718</v>
      </c>
      <c r="D41" s="2" t="s">
        <v>84</v>
      </c>
      <c r="E41" s="7">
        <v>31275</v>
      </c>
      <c r="F41"/>
      <c r="G41"/>
      <c r="H41" s="10">
        <f>H40-0.1</f>
        <v>-2.1339999999999999</v>
      </c>
      <c r="I41" s="10"/>
      <c r="J41" s="27"/>
      <c r="K41" s="27"/>
      <c r="L41" s="27"/>
      <c r="M41" s="45" t="s">
        <v>90</v>
      </c>
    </row>
    <row r="42" spans="1:13" x14ac:dyDescent="0.2">
      <c r="A42" t="s">
        <v>81</v>
      </c>
      <c r="B42" t="s">
        <v>82</v>
      </c>
      <c r="C42" s="40">
        <v>43718</v>
      </c>
      <c r="D42" s="41" t="s">
        <v>23</v>
      </c>
      <c r="E42" s="42"/>
      <c r="F42"/>
      <c r="G42"/>
      <c r="H42" s="19">
        <v>-2.93</v>
      </c>
      <c r="I42" s="10"/>
      <c r="J42" s="27"/>
      <c r="K42" s="27"/>
      <c r="L42" s="27"/>
      <c r="M42" s="45" t="s">
        <v>90</v>
      </c>
    </row>
    <row r="43" spans="1:13" x14ac:dyDescent="0.2">
      <c r="A43" t="s">
        <v>81</v>
      </c>
      <c r="B43" t="s">
        <v>82</v>
      </c>
      <c r="C43" s="40">
        <v>43718</v>
      </c>
      <c r="D43" s="41" t="s">
        <v>15</v>
      </c>
      <c r="E43" s="7">
        <v>29457</v>
      </c>
      <c r="F43"/>
      <c r="G43"/>
      <c r="H43" s="19">
        <f>H42+0.181</f>
        <v>-2.7490000000000001</v>
      </c>
      <c r="I43" s="10"/>
      <c r="J43" s="27"/>
      <c r="K43" s="27"/>
      <c r="L43" s="27"/>
      <c r="M43" s="45" t="s">
        <v>90</v>
      </c>
    </row>
    <row r="44" spans="1:13" x14ac:dyDescent="0.2">
      <c r="A44" t="s">
        <v>81</v>
      </c>
      <c r="B44" t="s">
        <v>82</v>
      </c>
      <c r="C44" s="40">
        <v>43746</v>
      </c>
      <c r="D44" s="41" t="s">
        <v>21</v>
      </c>
      <c r="E44" s="42"/>
      <c r="F44">
        <v>156334</v>
      </c>
      <c r="G44">
        <v>516322</v>
      </c>
      <c r="H44" s="19">
        <v>2.4430999999999998</v>
      </c>
      <c r="I44" s="10"/>
      <c r="J44" s="27"/>
      <c r="K44" s="27"/>
      <c r="L44" s="27"/>
      <c r="M44" s="45">
        <v>2.4114</v>
      </c>
    </row>
    <row r="45" spans="1:13" x14ac:dyDescent="0.2">
      <c r="A45" t="s">
        <v>81</v>
      </c>
      <c r="B45" t="s">
        <v>82</v>
      </c>
      <c r="C45" s="40">
        <v>43746</v>
      </c>
      <c r="D45" s="41" t="s">
        <v>17</v>
      </c>
      <c r="E45" s="7">
        <v>27047</v>
      </c>
      <c r="F45" s="20"/>
      <c r="G45"/>
      <c r="H45" s="19">
        <f>1.43-2.967</f>
        <v>-1.5370000000000001</v>
      </c>
      <c r="I45" s="10"/>
      <c r="J45" s="27"/>
      <c r="K45" s="27"/>
      <c r="L45" s="27"/>
      <c r="M45" s="45">
        <f>1.4248-2.967</f>
        <v>-1.5422</v>
      </c>
    </row>
    <row r="46" spans="1:13" x14ac:dyDescent="0.2">
      <c r="A46" t="s">
        <v>81</v>
      </c>
      <c r="B46" t="s">
        <v>82</v>
      </c>
      <c r="C46" s="40">
        <v>43746</v>
      </c>
      <c r="D46" s="2" t="s">
        <v>44</v>
      </c>
      <c r="E46" s="7">
        <v>14794</v>
      </c>
      <c r="F46"/>
      <c r="G46"/>
      <c r="H46" s="10">
        <f>0.731-1.82- 0.945</f>
        <v>-2.0339999999999998</v>
      </c>
      <c r="I46" s="33">
        <v>169.8</v>
      </c>
      <c r="J46" s="27">
        <v>166.4</v>
      </c>
      <c r="K46" s="34">
        <f>J46-I46</f>
        <v>-3.4000000000000057</v>
      </c>
      <c r="L46" s="48">
        <f>-(940-36)</f>
        <v>-904</v>
      </c>
      <c r="M46" s="46">
        <f>0.7033-1.82- 0.945</f>
        <v>-2.0617000000000001</v>
      </c>
    </row>
    <row r="47" spans="1:13" x14ac:dyDescent="0.2">
      <c r="A47" t="s">
        <v>81</v>
      </c>
      <c r="B47" t="s">
        <v>82</v>
      </c>
      <c r="C47" s="40">
        <v>43746</v>
      </c>
      <c r="D47" s="2" t="s">
        <v>84</v>
      </c>
      <c r="E47" s="7">
        <v>31275</v>
      </c>
      <c r="F47"/>
      <c r="G47"/>
      <c r="H47" s="10">
        <f>H46-0.1</f>
        <v>-2.1339999999999999</v>
      </c>
      <c r="I47" s="10"/>
      <c r="J47" s="27"/>
      <c r="K47" s="27"/>
      <c r="L47" s="27"/>
      <c r="M47" s="46">
        <f>M46-0.1</f>
        <v>-2.1617000000000002</v>
      </c>
    </row>
    <row r="48" spans="1:13" x14ac:dyDescent="0.2">
      <c r="A48" t="s">
        <v>81</v>
      </c>
      <c r="B48" t="s">
        <v>82</v>
      </c>
      <c r="C48" s="40">
        <v>43746</v>
      </c>
      <c r="D48" s="41" t="s">
        <v>23</v>
      </c>
      <c r="E48" s="42"/>
      <c r="F48"/>
      <c r="G48"/>
      <c r="H48" s="19">
        <v>-2.93</v>
      </c>
      <c r="I48" s="10"/>
      <c r="J48" s="27"/>
      <c r="K48" s="27"/>
      <c r="L48" s="27"/>
      <c r="M48" s="45">
        <v>-2.9333999999999998</v>
      </c>
    </row>
    <row r="49" spans="1:13" x14ac:dyDescent="0.2">
      <c r="A49" t="s">
        <v>81</v>
      </c>
      <c r="B49" t="s">
        <v>82</v>
      </c>
      <c r="C49" s="40">
        <v>43746</v>
      </c>
      <c r="D49" s="41" t="s">
        <v>15</v>
      </c>
      <c r="E49" s="7">
        <v>29457</v>
      </c>
      <c r="F49"/>
      <c r="G49"/>
      <c r="H49" s="19">
        <f>H48+0.181</f>
        <v>-2.7490000000000001</v>
      </c>
      <c r="I49" s="10"/>
      <c r="J49" s="27"/>
      <c r="K49" s="27"/>
      <c r="L49" s="27"/>
      <c r="M49" s="45">
        <f>M48+0.181</f>
        <v>-2.7523999999999997</v>
      </c>
    </row>
    <row r="50" spans="1:13" x14ac:dyDescent="0.2">
      <c r="A50" t="s">
        <v>81</v>
      </c>
      <c r="B50" t="s">
        <v>82</v>
      </c>
      <c r="C50" s="40">
        <v>43781</v>
      </c>
      <c r="D50" s="41" t="s">
        <v>21</v>
      </c>
      <c r="E50" s="42"/>
      <c r="F50">
        <v>156334</v>
      </c>
      <c r="G50">
        <v>516322</v>
      </c>
      <c r="H50" s="19">
        <v>2.4430999999999998</v>
      </c>
      <c r="I50" s="10"/>
      <c r="J50" s="27"/>
      <c r="K50" s="27"/>
      <c r="L50" s="27"/>
      <c r="M50" s="45" t="s">
        <v>91</v>
      </c>
    </row>
    <row r="51" spans="1:13" x14ac:dyDescent="0.2">
      <c r="A51" t="s">
        <v>81</v>
      </c>
      <c r="B51" t="s">
        <v>82</v>
      </c>
      <c r="C51" s="40">
        <v>43781</v>
      </c>
      <c r="D51" s="41" t="s">
        <v>17</v>
      </c>
      <c r="E51" s="7">
        <v>27047</v>
      </c>
      <c r="F51" s="20"/>
      <c r="G51"/>
      <c r="H51" s="19">
        <f>1.43-2.967</f>
        <v>-1.5370000000000001</v>
      </c>
      <c r="I51" s="10"/>
      <c r="J51" s="27"/>
      <c r="K51" s="27"/>
      <c r="L51" s="27"/>
      <c r="M51" s="45">
        <f>1.4097-2.967</f>
        <v>-1.5573000000000001</v>
      </c>
    </row>
    <row r="52" spans="1:13" x14ac:dyDescent="0.2">
      <c r="A52" t="s">
        <v>81</v>
      </c>
      <c r="B52" t="s">
        <v>82</v>
      </c>
      <c r="C52" s="40">
        <v>43781</v>
      </c>
      <c r="D52" s="2" t="s">
        <v>44</v>
      </c>
      <c r="E52" s="7">
        <v>14794</v>
      </c>
      <c r="F52"/>
      <c r="G52"/>
      <c r="H52" s="10">
        <f>0.731-1.82- 0.945</f>
        <v>-2.0339999999999998</v>
      </c>
      <c r="I52" s="33">
        <v>169.8</v>
      </c>
      <c r="J52" s="27">
        <v>166.4</v>
      </c>
      <c r="K52" s="34">
        <f>J52-I52</f>
        <v>-3.4000000000000057</v>
      </c>
      <c r="L52" s="100">
        <f>-(940-36+6)</f>
        <v>-910</v>
      </c>
      <c r="M52" s="46">
        <f>0.6644-1.78- 0.945</f>
        <v>-2.0606</v>
      </c>
    </row>
    <row r="53" spans="1:13" x14ac:dyDescent="0.2">
      <c r="A53" t="s">
        <v>81</v>
      </c>
      <c r="B53" t="s">
        <v>82</v>
      </c>
      <c r="C53" s="40">
        <v>43781</v>
      </c>
      <c r="D53" s="2" t="s">
        <v>84</v>
      </c>
      <c r="E53" s="7">
        <v>31275</v>
      </c>
      <c r="F53"/>
      <c r="G53"/>
      <c r="H53" s="10">
        <f>H52-0.1</f>
        <v>-2.1339999999999999</v>
      </c>
      <c r="I53" s="10"/>
      <c r="J53" s="27"/>
      <c r="K53" s="27"/>
      <c r="L53" s="27"/>
      <c r="M53" s="46">
        <f>M52-0.1</f>
        <v>-2.1606000000000001</v>
      </c>
    </row>
    <row r="54" spans="1:13" x14ac:dyDescent="0.2">
      <c r="A54" t="s">
        <v>81</v>
      </c>
      <c r="B54" t="s">
        <v>82</v>
      </c>
      <c r="C54" s="40">
        <v>43781</v>
      </c>
      <c r="D54" s="41" t="s">
        <v>23</v>
      </c>
      <c r="E54" s="42"/>
      <c r="F54"/>
      <c r="G54"/>
      <c r="H54" s="19">
        <v>-2.93</v>
      </c>
      <c r="I54" s="10"/>
      <c r="J54" s="27"/>
      <c r="K54" s="27"/>
      <c r="L54" s="27"/>
      <c r="M54" s="45">
        <v>-3.0244</v>
      </c>
    </row>
    <row r="55" spans="1:13" x14ac:dyDescent="0.2">
      <c r="A55" t="s">
        <v>81</v>
      </c>
      <c r="B55" t="s">
        <v>82</v>
      </c>
      <c r="C55" s="40">
        <v>43781</v>
      </c>
      <c r="D55" s="41" t="s">
        <v>15</v>
      </c>
      <c r="E55" s="7">
        <v>29457</v>
      </c>
      <c r="F55"/>
      <c r="G55"/>
      <c r="H55" s="19">
        <f>H54+0.181</f>
        <v>-2.7490000000000001</v>
      </c>
      <c r="I55" s="10"/>
      <c r="J55" s="27"/>
      <c r="K55" s="27"/>
      <c r="L55" s="27"/>
      <c r="M55" s="45">
        <f>M54+0.181</f>
        <v>-2.8433999999999999</v>
      </c>
    </row>
    <row r="56" spans="1:13" x14ac:dyDescent="0.2">
      <c r="A56" t="s">
        <v>81</v>
      </c>
      <c r="B56" t="s">
        <v>82</v>
      </c>
      <c r="C56" s="40">
        <v>43801</v>
      </c>
      <c r="D56" s="41" t="s">
        <v>21</v>
      </c>
      <c r="E56" s="42"/>
      <c r="F56">
        <v>156334</v>
      </c>
      <c r="G56">
        <v>516322</v>
      </c>
      <c r="H56" s="37">
        <v>2.4049999999999998</v>
      </c>
      <c r="I56" s="10"/>
      <c r="J56" s="27"/>
      <c r="K56" s="27"/>
      <c r="L56" s="27"/>
      <c r="M56" s="51">
        <v>2.4049999999999998</v>
      </c>
    </row>
    <row r="57" spans="1:13" x14ac:dyDescent="0.2">
      <c r="A57" t="s">
        <v>81</v>
      </c>
      <c r="B57" t="s">
        <v>82</v>
      </c>
      <c r="C57" s="40">
        <v>43801</v>
      </c>
      <c r="D57" s="41" t="s">
        <v>17</v>
      </c>
      <c r="E57" s="7">
        <v>27047</v>
      </c>
      <c r="F57" s="20"/>
      <c r="G57"/>
      <c r="H57" s="19">
        <f>1.43-2.967</f>
        <v>-1.5370000000000001</v>
      </c>
      <c r="I57" s="10"/>
      <c r="J57" s="27"/>
      <c r="K57" s="27"/>
      <c r="L57" s="27"/>
      <c r="M57" s="45">
        <f>1.3976-2.967</f>
        <v>-1.5694000000000001</v>
      </c>
    </row>
    <row r="58" spans="1:13" x14ac:dyDescent="0.2">
      <c r="A58" t="s">
        <v>81</v>
      </c>
      <c r="B58" t="s">
        <v>82</v>
      </c>
      <c r="C58" s="40">
        <v>43801</v>
      </c>
      <c r="D58" s="2" t="s">
        <v>44</v>
      </c>
      <c r="E58" s="7">
        <v>14794</v>
      </c>
      <c r="F58"/>
      <c r="G58"/>
      <c r="H58" s="10">
        <f>0.731-1.82- 0.945</f>
        <v>-2.0339999999999998</v>
      </c>
      <c r="I58" s="33">
        <v>169.8</v>
      </c>
      <c r="J58" s="27">
        <v>166.4</v>
      </c>
      <c r="K58" s="34">
        <f>J58-I58</f>
        <v>-3.4000000000000057</v>
      </c>
      <c r="L58" s="48">
        <f>-(940-36+6)</f>
        <v>-910</v>
      </c>
      <c r="M58" s="46">
        <f>0.6819-1.78- 0.945</f>
        <v>-2.0430999999999999</v>
      </c>
    </row>
    <row r="59" spans="1:13" x14ac:dyDescent="0.2">
      <c r="A59" t="s">
        <v>81</v>
      </c>
      <c r="B59" t="s">
        <v>82</v>
      </c>
      <c r="C59" s="40">
        <v>43801</v>
      </c>
      <c r="D59" s="2" t="s">
        <v>84</v>
      </c>
      <c r="E59" s="7">
        <v>31275</v>
      </c>
      <c r="F59"/>
      <c r="G59"/>
      <c r="H59" s="10">
        <f>H58-0.1</f>
        <v>-2.1339999999999999</v>
      </c>
      <c r="I59" s="10"/>
      <c r="J59" s="27"/>
      <c r="K59" s="27"/>
      <c r="L59" s="27"/>
      <c r="M59" s="46">
        <f>M58-0.1</f>
        <v>-2.1431</v>
      </c>
    </row>
    <row r="60" spans="1:13" x14ac:dyDescent="0.2">
      <c r="A60" t="s">
        <v>81</v>
      </c>
      <c r="B60" t="s">
        <v>82</v>
      </c>
      <c r="C60" s="40">
        <v>43801</v>
      </c>
      <c r="D60" s="41" t="s">
        <v>23</v>
      </c>
      <c r="E60" s="42"/>
      <c r="F60"/>
      <c r="G60"/>
      <c r="H60" s="19">
        <v>-2.93</v>
      </c>
      <c r="I60" s="10"/>
      <c r="J60" s="27"/>
      <c r="K60" s="27"/>
      <c r="L60" s="27"/>
      <c r="M60" s="52" t="s">
        <v>92</v>
      </c>
    </row>
    <row r="61" spans="1:13" x14ac:dyDescent="0.2">
      <c r="A61" t="s">
        <v>81</v>
      </c>
      <c r="B61" t="s">
        <v>82</v>
      </c>
      <c r="C61" s="40">
        <v>43801</v>
      </c>
      <c r="D61" s="41" t="s">
        <v>15</v>
      </c>
      <c r="E61" s="7">
        <v>29457</v>
      </c>
      <c r="F61"/>
      <c r="G61"/>
      <c r="H61" s="19">
        <f>H60+0.181</f>
        <v>-2.7490000000000001</v>
      </c>
      <c r="I61" s="10"/>
      <c r="J61" s="27"/>
      <c r="K61" s="27"/>
      <c r="L61" s="27"/>
      <c r="M61" s="51">
        <v>-2.7921999999999998</v>
      </c>
    </row>
    <row r="62" spans="1:13" x14ac:dyDescent="0.2">
      <c r="A62" t="s">
        <v>81</v>
      </c>
      <c r="B62" t="s">
        <v>82</v>
      </c>
      <c r="C62" s="40">
        <v>43837</v>
      </c>
      <c r="D62" s="41" t="s">
        <v>21</v>
      </c>
      <c r="E62" s="42"/>
      <c r="F62">
        <v>156334</v>
      </c>
      <c r="G62">
        <v>516322</v>
      </c>
      <c r="H62" s="37">
        <v>2.3885000000000001</v>
      </c>
      <c r="I62" s="10"/>
      <c r="J62" s="27"/>
      <c r="K62" s="27"/>
      <c r="L62" s="27"/>
      <c r="M62" s="51">
        <v>2.3885000000000001</v>
      </c>
    </row>
    <row r="63" spans="1:13" x14ac:dyDescent="0.2">
      <c r="A63" t="s">
        <v>81</v>
      </c>
      <c r="B63" t="s">
        <v>82</v>
      </c>
      <c r="C63" s="40">
        <v>43837</v>
      </c>
      <c r="D63" s="41" t="s">
        <v>17</v>
      </c>
      <c r="E63" s="7">
        <v>27047</v>
      </c>
      <c r="F63" s="20"/>
      <c r="G63"/>
      <c r="H63" s="73">
        <f>1.41-2.967</f>
        <v>-1.5570000000000002</v>
      </c>
      <c r="I63" s="10"/>
      <c r="J63" s="27"/>
      <c r="K63" s="27"/>
      <c r="L63" s="27"/>
      <c r="M63" s="50" t="s">
        <v>93</v>
      </c>
    </row>
    <row r="64" spans="1:13" x14ac:dyDescent="0.2">
      <c r="A64" t="s">
        <v>81</v>
      </c>
      <c r="B64" t="s">
        <v>82</v>
      </c>
      <c r="C64" s="40">
        <v>43837</v>
      </c>
      <c r="D64" s="2" t="s">
        <v>44</v>
      </c>
      <c r="E64" s="7">
        <v>14794</v>
      </c>
      <c r="F64"/>
      <c r="G64"/>
      <c r="H64" s="37">
        <f>0.6798-1.82- 0.945</f>
        <v>-2.0851999999999999</v>
      </c>
      <c r="I64" s="33">
        <v>169.8</v>
      </c>
      <c r="J64" s="27">
        <v>166.4</v>
      </c>
      <c r="K64" s="34">
        <f>J64-I64</f>
        <v>-3.4000000000000057</v>
      </c>
      <c r="L64" s="48">
        <f>-(940-36+6)</f>
        <v>-910</v>
      </c>
      <c r="M64" s="46">
        <f>0.6798-1.82- 0.945</f>
        <v>-2.0851999999999999</v>
      </c>
    </row>
    <row r="65" spans="1:13" x14ac:dyDescent="0.2">
      <c r="A65" t="s">
        <v>81</v>
      </c>
      <c r="B65" t="s">
        <v>82</v>
      </c>
      <c r="C65" s="40">
        <v>43837</v>
      </c>
      <c r="D65" s="2" t="s">
        <v>84</v>
      </c>
      <c r="E65" s="7">
        <v>31275</v>
      </c>
      <c r="F65"/>
      <c r="G65"/>
      <c r="H65" s="37">
        <f>H64-0.1</f>
        <v>-2.1852</v>
      </c>
      <c r="I65" s="10"/>
      <c r="J65" s="27"/>
      <c r="K65" s="27"/>
      <c r="L65" s="27"/>
      <c r="M65" s="46">
        <f>M64-0.1</f>
        <v>-2.1852</v>
      </c>
    </row>
    <row r="66" spans="1:13" x14ac:dyDescent="0.2">
      <c r="A66" t="s">
        <v>81</v>
      </c>
      <c r="B66" t="s">
        <v>82</v>
      </c>
      <c r="C66" s="40">
        <v>43837</v>
      </c>
      <c r="D66" s="41" t="s">
        <v>23</v>
      </c>
      <c r="E66" s="42"/>
      <c r="F66"/>
      <c r="G66"/>
      <c r="H66" s="19">
        <v>-2.93</v>
      </c>
      <c r="I66" s="10"/>
      <c r="J66" s="27"/>
      <c r="K66" s="27"/>
      <c r="L66" s="27"/>
      <c r="M66" s="52" t="s">
        <v>94</v>
      </c>
    </row>
    <row r="67" spans="1:13" x14ac:dyDescent="0.2">
      <c r="A67" t="s">
        <v>81</v>
      </c>
      <c r="B67" t="s">
        <v>82</v>
      </c>
      <c r="C67" s="40">
        <v>43837</v>
      </c>
      <c r="D67" s="41" t="s">
        <v>15</v>
      </c>
      <c r="E67" s="7">
        <v>29457</v>
      </c>
      <c r="F67"/>
      <c r="G67"/>
      <c r="H67" s="19">
        <f>H66+0.181</f>
        <v>-2.7490000000000001</v>
      </c>
      <c r="I67" s="10"/>
      <c r="J67" s="27"/>
      <c r="K67" s="27"/>
      <c r="L67" s="27"/>
      <c r="M67" s="51"/>
    </row>
    <row r="68" spans="1:13" x14ac:dyDescent="0.2">
      <c r="A68" t="s">
        <v>81</v>
      </c>
      <c r="B68" t="s">
        <v>82</v>
      </c>
      <c r="C68" s="40">
        <v>43857</v>
      </c>
      <c r="D68" s="41" t="s">
        <v>21</v>
      </c>
      <c r="E68" s="42"/>
      <c r="F68">
        <v>156334</v>
      </c>
      <c r="G68">
        <v>516322</v>
      </c>
      <c r="H68" s="37">
        <v>2.3885000000000001</v>
      </c>
      <c r="I68" s="10"/>
      <c r="J68" s="27"/>
      <c r="K68" s="27"/>
      <c r="L68" s="27"/>
      <c r="M68" s="51">
        <v>2.4207000000000001</v>
      </c>
    </row>
    <row r="69" spans="1:13" x14ac:dyDescent="0.2">
      <c r="A69" t="s">
        <v>81</v>
      </c>
      <c r="B69" t="s">
        <v>82</v>
      </c>
      <c r="C69" s="40">
        <v>43857</v>
      </c>
      <c r="D69" s="41" t="s">
        <v>17</v>
      </c>
      <c r="E69" s="7">
        <v>27047</v>
      </c>
      <c r="F69" s="20"/>
      <c r="G69"/>
      <c r="H69" s="37">
        <f>1.41-2.967</f>
        <v>-1.5570000000000002</v>
      </c>
      <c r="I69" s="10"/>
      <c r="J69" s="27"/>
      <c r="K69" s="27"/>
      <c r="L69" s="27"/>
      <c r="M69" s="50"/>
    </row>
    <row r="70" spans="1:13" x14ac:dyDescent="0.2">
      <c r="A70" t="s">
        <v>81</v>
      </c>
      <c r="B70" t="s">
        <v>82</v>
      </c>
      <c r="C70" s="40">
        <v>43857</v>
      </c>
      <c r="D70" s="2" t="s">
        <v>44</v>
      </c>
      <c r="E70" s="7">
        <v>14794</v>
      </c>
      <c r="F70"/>
      <c r="G70"/>
      <c r="H70" s="37">
        <f>0.6798-1.82- 0.945</f>
        <v>-2.0851999999999999</v>
      </c>
      <c r="I70" s="33">
        <v>169.8</v>
      </c>
      <c r="J70" s="27">
        <v>166.4</v>
      </c>
      <c r="K70" s="34">
        <f>J70-I70</f>
        <v>-3.4000000000000057</v>
      </c>
      <c r="L70" s="48">
        <f>-(940-36+6)</f>
        <v>-910</v>
      </c>
      <c r="M70" s="46">
        <f>0.6776-1.82- 0.945</f>
        <v>-2.0874000000000001</v>
      </c>
    </row>
    <row r="71" spans="1:13" x14ac:dyDescent="0.2">
      <c r="A71" t="s">
        <v>81</v>
      </c>
      <c r="B71" t="s">
        <v>82</v>
      </c>
      <c r="C71" s="40">
        <v>43857</v>
      </c>
      <c r="D71" s="2" t="s">
        <v>84</v>
      </c>
      <c r="E71" s="7">
        <v>31275</v>
      </c>
      <c r="F71"/>
      <c r="G71"/>
      <c r="H71" s="37">
        <f>H70-0.1</f>
        <v>-2.1852</v>
      </c>
      <c r="I71" s="10"/>
      <c r="J71" s="27"/>
      <c r="K71" s="27"/>
      <c r="L71" s="27"/>
      <c r="M71" s="46">
        <f>M70-0.1</f>
        <v>-2.1874000000000002</v>
      </c>
    </row>
    <row r="72" spans="1:13" x14ac:dyDescent="0.2">
      <c r="A72" t="s">
        <v>81</v>
      </c>
      <c r="B72" t="s">
        <v>82</v>
      </c>
      <c r="C72" s="40">
        <v>43857</v>
      </c>
      <c r="D72" s="41" t="s">
        <v>23</v>
      </c>
      <c r="E72" s="42"/>
      <c r="F72"/>
      <c r="G72"/>
      <c r="H72" s="19">
        <v>-2.93</v>
      </c>
      <c r="I72" s="10"/>
      <c r="J72" s="27"/>
      <c r="K72" s="27"/>
      <c r="L72" s="27"/>
      <c r="M72" s="52" t="s">
        <v>95</v>
      </c>
    </row>
    <row r="73" spans="1:13" x14ac:dyDescent="0.2">
      <c r="A73" t="s">
        <v>81</v>
      </c>
      <c r="B73" t="s">
        <v>82</v>
      </c>
      <c r="C73" s="40">
        <v>43857</v>
      </c>
      <c r="D73" s="41" t="s">
        <v>15</v>
      </c>
      <c r="E73" s="7">
        <v>29457</v>
      </c>
      <c r="F73"/>
      <c r="G73"/>
      <c r="H73" s="19">
        <f>H72+0.181</f>
        <v>-2.7490000000000001</v>
      </c>
      <c r="I73" s="10"/>
      <c r="J73" s="27"/>
      <c r="K73" s="27"/>
      <c r="L73" s="27"/>
      <c r="M73" s="51"/>
    </row>
    <row r="74" spans="1:13" x14ac:dyDescent="0.2">
      <c r="A74" t="s">
        <v>81</v>
      </c>
      <c r="B74" t="s">
        <v>82</v>
      </c>
      <c r="C74" s="40">
        <v>43887</v>
      </c>
      <c r="D74" s="41" t="s">
        <v>21</v>
      </c>
      <c r="E74" s="42"/>
      <c r="F74">
        <v>156334</v>
      </c>
      <c r="G74">
        <v>516322</v>
      </c>
      <c r="H74" s="37">
        <v>2.4239999999999999</v>
      </c>
      <c r="I74" s="10"/>
      <c r="J74" s="27"/>
      <c r="K74" s="27"/>
      <c r="L74" s="27"/>
      <c r="M74" s="51">
        <v>2.4239999999999999</v>
      </c>
    </row>
    <row r="75" spans="1:13" x14ac:dyDescent="0.2">
      <c r="A75" t="s">
        <v>81</v>
      </c>
      <c r="B75" t="s">
        <v>82</v>
      </c>
      <c r="C75" s="40">
        <v>43887</v>
      </c>
      <c r="D75" s="41" t="s">
        <v>17</v>
      </c>
      <c r="E75" s="7">
        <v>27047</v>
      </c>
      <c r="F75" s="20"/>
      <c r="G75"/>
      <c r="H75" s="37">
        <f>1.41-2.967</f>
        <v>-1.5570000000000002</v>
      </c>
      <c r="I75" s="10"/>
      <c r="J75" s="27"/>
      <c r="K75" s="27"/>
      <c r="L75" s="27"/>
      <c r="M75" s="50" t="s">
        <v>96</v>
      </c>
    </row>
    <row r="76" spans="1:13" x14ac:dyDescent="0.2">
      <c r="A76" t="s">
        <v>81</v>
      </c>
      <c r="B76" t="s">
        <v>82</v>
      </c>
      <c r="C76" s="40">
        <v>43887</v>
      </c>
      <c r="D76" s="2" t="s">
        <v>44</v>
      </c>
      <c r="E76" s="7">
        <v>14794</v>
      </c>
      <c r="F76"/>
      <c r="G76"/>
      <c r="H76" s="37">
        <f>0.6798-1.82- 0.945</f>
        <v>-2.0851999999999999</v>
      </c>
      <c r="I76" s="33">
        <v>169.8</v>
      </c>
      <c r="J76" s="27">
        <v>166.4</v>
      </c>
      <c r="K76" s="34">
        <f>J76-I76</f>
        <v>-3.4000000000000057</v>
      </c>
      <c r="L76" s="48">
        <f>-(940-36+6)</f>
        <v>-910</v>
      </c>
      <c r="M76" s="46"/>
    </row>
    <row r="77" spans="1:13" x14ac:dyDescent="0.2">
      <c r="A77" t="s">
        <v>81</v>
      </c>
      <c r="B77" t="s">
        <v>82</v>
      </c>
      <c r="C77" s="40">
        <v>43887</v>
      </c>
      <c r="D77" s="2" t="s">
        <v>84</v>
      </c>
      <c r="E77" s="7">
        <v>31275</v>
      </c>
      <c r="F77"/>
      <c r="G77"/>
      <c r="H77" s="37">
        <f>H76-0.1</f>
        <v>-2.1852</v>
      </c>
      <c r="I77" s="10"/>
      <c r="J77" s="27"/>
      <c r="K77" s="27"/>
      <c r="L77" s="27"/>
      <c r="M77" s="46"/>
    </row>
    <row r="78" spans="1:13" x14ac:dyDescent="0.2">
      <c r="A78" t="s">
        <v>81</v>
      </c>
      <c r="B78" t="s">
        <v>82</v>
      </c>
      <c r="C78" s="40">
        <v>43887</v>
      </c>
      <c r="D78" s="41" t="s">
        <v>23</v>
      </c>
      <c r="E78" s="42"/>
      <c r="F78"/>
      <c r="G78"/>
      <c r="H78" s="19">
        <v>-2.9336000000000002</v>
      </c>
      <c r="I78" s="10"/>
      <c r="J78" s="27"/>
      <c r="K78" s="27"/>
      <c r="L78" s="27"/>
      <c r="M78" s="45">
        <v>-2.9336000000000002</v>
      </c>
    </row>
    <row r="79" spans="1:13" x14ac:dyDescent="0.2">
      <c r="A79" t="s">
        <v>81</v>
      </c>
      <c r="B79" t="s">
        <v>82</v>
      </c>
      <c r="C79" s="40">
        <v>43887</v>
      </c>
      <c r="D79" s="41" t="s">
        <v>15</v>
      </c>
      <c r="E79" s="7">
        <v>29457</v>
      </c>
      <c r="F79"/>
      <c r="G79"/>
      <c r="H79" s="19">
        <f>H78+0.181</f>
        <v>-2.7526000000000002</v>
      </c>
      <c r="I79" s="10"/>
      <c r="J79" s="27"/>
      <c r="K79" s="27"/>
      <c r="L79" s="27"/>
      <c r="M79" s="51"/>
    </row>
    <row r="80" spans="1:13" x14ac:dyDescent="0.2">
      <c r="A80" t="s">
        <v>81</v>
      </c>
      <c r="B80" t="s">
        <v>82</v>
      </c>
      <c r="C80" s="40">
        <v>43913</v>
      </c>
      <c r="D80" s="41" t="s">
        <v>21</v>
      </c>
      <c r="E80" s="42"/>
      <c r="F80">
        <v>156334</v>
      </c>
      <c r="G80">
        <v>516322</v>
      </c>
      <c r="H80" s="37">
        <v>2.4239999999999999</v>
      </c>
      <c r="I80" s="10"/>
      <c r="J80" s="27"/>
      <c r="K80" s="27"/>
      <c r="L80" s="27"/>
      <c r="M80" s="51">
        <v>2.4127000000000001</v>
      </c>
    </row>
    <row r="81" spans="1:13" x14ac:dyDescent="0.2">
      <c r="A81" t="s">
        <v>81</v>
      </c>
      <c r="B81" t="s">
        <v>82</v>
      </c>
      <c r="C81" s="40">
        <v>43913</v>
      </c>
      <c r="D81" s="41" t="s">
        <v>17</v>
      </c>
      <c r="E81" s="7">
        <v>27047</v>
      </c>
      <c r="F81" s="20"/>
      <c r="G81"/>
      <c r="H81" s="37">
        <f>1.3905-2.967</f>
        <v>-1.5765</v>
      </c>
      <c r="I81" s="10"/>
      <c r="J81" s="27"/>
      <c r="K81" s="27"/>
      <c r="L81" s="27"/>
      <c r="M81" s="50" t="s">
        <v>97</v>
      </c>
    </row>
    <row r="82" spans="1:13" ht="12.75" customHeight="1" x14ac:dyDescent="0.2">
      <c r="A82" t="s">
        <v>81</v>
      </c>
      <c r="B82" t="s">
        <v>82</v>
      </c>
      <c r="C82" s="40">
        <v>43913</v>
      </c>
      <c r="D82" s="2" t="s">
        <v>44</v>
      </c>
      <c r="E82" s="7">
        <v>14794</v>
      </c>
      <c r="F82"/>
      <c r="G82"/>
      <c r="H82" s="37">
        <f>0.6798-1.82- 0.945</f>
        <v>-2.0851999999999999</v>
      </c>
      <c r="I82" s="33">
        <v>169.8</v>
      </c>
      <c r="J82" s="27">
        <v>166.4</v>
      </c>
      <c r="K82" s="34">
        <f>J82-I82</f>
        <v>-3.4000000000000057</v>
      </c>
      <c r="L82" s="100">
        <f>-(940-36+6-114)</f>
        <v>-796</v>
      </c>
      <c r="M82" s="46" t="s">
        <v>98</v>
      </c>
    </row>
    <row r="83" spans="1:13" ht="12.75" customHeight="1" x14ac:dyDescent="0.2">
      <c r="A83" t="s">
        <v>81</v>
      </c>
      <c r="B83" t="s">
        <v>82</v>
      </c>
      <c r="C83" s="40">
        <v>43913</v>
      </c>
      <c r="D83" s="2" t="s">
        <v>84</v>
      </c>
      <c r="E83" s="7">
        <v>31275</v>
      </c>
      <c r="F83"/>
      <c r="G83"/>
      <c r="H83" s="37">
        <f>H82-0.1</f>
        <v>-2.1852</v>
      </c>
      <c r="I83" s="10"/>
      <c r="J83" s="27"/>
      <c r="K83" s="27"/>
      <c r="L83" s="27"/>
      <c r="M83" s="46"/>
    </row>
    <row r="84" spans="1:13" x14ac:dyDescent="0.2">
      <c r="A84" t="s">
        <v>81</v>
      </c>
      <c r="B84" t="s">
        <v>82</v>
      </c>
      <c r="C84" s="40">
        <v>43913</v>
      </c>
      <c r="D84" s="41" t="s">
        <v>23</v>
      </c>
      <c r="E84" s="42"/>
      <c r="F84"/>
      <c r="G84"/>
      <c r="H84" s="19">
        <v>-2.9336000000000002</v>
      </c>
      <c r="I84" s="10"/>
      <c r="J84" s="27"/>
      <c r="K84" s="27"/>
      <c r="L84" s="27"/>
      <c r="M84" s="45">
        <v>-2.9039000000000001</v>
      </c>
    </row>
    <row r="85" spans="1:13" x14ac:dyDescent="0.2">
      <c r="A85" t="s">
        <v>81</v>
      </c>
      <c r="B85" t="s">
        <v>82</v>
      </c>
      <c r="C85" s="40">
        <v>43913</v>
      </c>
      <c r="D85" s="41" t="s">
        <v>15</v>
      </c>
      <c r="E85" s="7">
        <v>29457</v>
      </c>
      <c r="F85"/>
      <c r="G85"/>
      <c r="H85" s="19">
        <v>-2.7526000000000002</v>
      </c>
      <c r="I85" s="10"/>
      <c r="J85" s="27"/>
      <c r="K85" s="27"/>
      <c r="L85" s="27"/>
      <c r="M85" s="50" t="s">
        <v>42</v>
      </c>
    </row>
    <row r="86" spans="1:13" x14ac:dyDescent="0.2">
      <c r="A86" t="s">
        <v>81</v>
      </c>
      <c r="B86" t="s">
        <v>82</v>
      </c>
      <c r="C86" s="40">
        <v>43941</v>
      </c>
      <c r="D86" s="41" t="s">
        <v>21</v>
      </c>
      <c r="E86" s="42"/>
      <c r="F86">
        <v>156334</v>
      </c>
      <c r="G86">
        <v>516322</v>
      </c>
      <c r="H86" s="37">
        <v>2.4239999999999999</v>
      </c>
      <c r="I86" s="10"/>
      <c r="J86" s="27"/>
      <c r="K86" s="27"/>
      <c r="L86" s="27"/>
      <c r="M86" s="51">
        <v>2.4131999999999998</v>
      </c>
    </row>
    <row r="87" spans="1:13" x14ac:dyDescent="0.2">
      <c r="A87" t="s">
        <v>81</v>
      </c>
      <c r="B87" t="s">
        <v>82</v>
      </c>
      <c r="C87" s="40">
        <v>43941</v>
      </c>
      <c r="D87" s="41" t="s">
        <v>17</v>
      </c>
      <c r="E87" s="7">
        <v>27047</v>
      </c>
      <c r="F87" s="20"/>
      <c r="G87"/>
      <c r="H87" s="37">
        <f>1.3905-2.967</f>
        <v>-1.5765</v>
      </c>
      <c r="I87" s="10"/>
      <c r="J87" s="27"/>
      <c r="K87" s="27"/>
      <c r="L87" s="27"/>
      <c r="M87" s="45" t="s">
        <v>99</v>
      </c>
    </row>
    <row r="88" spans="1:13" x14ac:dyDescent="0.2">
      <c r="A88" t="s">
        <v>81</v>
      </c>
      <c r="B88" t="s">
        <v>82</v>
      </c>
      <c r="C88" s="40">
        <v>43941</v>
      </c>
      <c r="D88" s="2" t="s">
        <v>44</v>
      </c>
      <c r="E88" s="7">
        <v>14794</v>
      </c>
      <c r="F88"/>
      <c r="G88"/>
      <c r="H88" s="37">
        <f>0.6798-1.82- 0.945</f>
        <v>-2.0851999999999999</v>
      </c>
      <c r="I88" s="33">
        <v>169.8</v>
      </c>
      <c r="J88" s="27">
        <v>166.4</v>
      </c>
      <c r="K88" s="34">
        <f>J88-I88</f>
        <v>-3.4000000000000057</v>
      </c>
      <c r="L88" s="95">
        <f>-(940-36+6-114)</f>
        <v>-796</v>
      </c>
      <c r="M88" s="46">
        <f>0.6816-1.82- 0.945</f>
        <v>-2.0834000000000001</v>
      </c>
    </row>
    <row r="89" spans="1:13" x14ac:dyDescent="0.2">
      <c r="A89" t="s">
        <v>81</v>
      </c>
      <c r="B89" t="s">
        <v>82</v>
      </c>
      <c r="C89" s="40">
        <v>43941</v>
      </c>
      <c r="D89" s="2" t="s">
        <v>84</v>
      </c>
      <c r="E89" s="7">
        <v>31275</v>
      </c>
      <c r="F89"/>
      <c r="G89"/>
      <c r="H89" s="37">
        <f>H88-0.1</f>
        <v>-2.1852</v>
      </c>
      <c r="I89" s="10"/>
      <c r="J89" s="27"/>
      <c r="K89" s="27"/>
      <c r="L89" s="27"/>
      <c r="M89" s="46"/>
    </row>
    <row r="90" spans="1:13" x14ac:dyDescent="0.2">
      <c r="A90" t="s">
        <v>81</v>
      </c>
      <c r="B90" t="s">
        <v>82</v>
      </c>
      <c r="C90" s="40">
        <v>43941</v>
      </c>
      <c r="D90" s="41" t="s">
        <v>23</v>
      </c>
      <c r="E90" s="42"/>
      <c r="F90"/>
      <c r="G90"/>
      <c r="H90" s="19">
        <v>-2.9045999999999998</v>
      </c>
      <c r="I90" s="10"/>
      <c r="J90" s="27"/>
      <c r="K90" s="27"/>
      <c r="L90" s="27"/>
      <c r="M90" s="45">
        <v>-2.9045999999999998</v>
      </c>
    </row>
    <row r="91" spans="1:13" x14ac:dyDescent="0.2">
      <c r="A91" t="s">
        <v>81</v>
      </c>
      <c r="B91" t="s">
        <v>82</v>
      </c>
      <c r="C91" s="40">
        <v>43941</v>
      </c>
      <c r="D91" s="41" t="s">
        <v>15</v>
      </c>
      <c r="E91" s="7">
        <v>29457</v>
      </c>
      <c r="F91"/>
      <c r="G91"/>
      <c r="H91" s="19">
        <v>-2.7526000000000002</v>
      </c>
      <c r="I91" s="10"/>
      <c r="J91" s="27"/>
      <c r="K91" s="27"/>
      <c r="L91" s="27"/>
      <c r="M91" s="50" t="s">
        <v>42</v>
      </c>
    </row>
    <row r="92" spans="1:13" x14ac:dyDescent="0.2">
      <c r="A92" t="s">
        <v>81</v>
      </c>
      <c r="B92" t="s">
        <v>82</v>
      </c>
      <c r="C92" s="40">
        <v>43971</v>
      </c>
      <c r="D92" s="41" t="s">
        <v>21</v>
      </c>
      <c r="E92" s="42"/>
      <c r="F92">
        <v>156334</v>
      </c>
      <c r="G92">
        <v>516322</v>
      </c>
      <c r="H92" s="37">
        <v>2.3820000000000001</v>
      </c>
      <c r="I92" s="10"/>
      <c r="J92" s="27"/>
      <c r="K92" s="27"/>
      <c r="L92" s="27"/>
      <c r="M92" s="51">
        <v>2.3820000000000001</v>
      </c>
    </row>
    <row r="93" spans="1:13" x14ac:dyDescent="0.2">
      <c r="A93" t="s">
        <v>81</v>
      </c>
      <c r="B93" t="s">
        <v>82</v>
      </c>
      <c r="C93" s="40">
        <v>43971</v>
      </c>
      <c r="D93" s="41" t="s">
        <v>17</v>
      </c>
      <c r="E93" s="7">
        <v>27047</v>
      </c>
      <c r="F93" s="20"/>
      <c r="G93"/>
      <c r="H93" s="37">
        <f>1.3905-2.967</f>
        <v>-1.5765</v>
      </c>
      <c r="I93" s="10"/>
      <c r="J93" s="27"/>
      <c r="K93" s="27"/>
      <c r="L93" s="27"/>
      <c r="M93" s="113" t="s">
        <v>100</v>
      </c>
    </row>
    <row r="94" spans="1:13" x14ac:dyDescent="0.2">
      <c r="A94" t="s">
        <v>81</v>
      </c>
      <c r="B94" t="s">
        <v>82</v>
      </c>
      <c r="C94" s="40">
        <v>43971</v>
      </c>
      <c r="D94" s="2" t="s">
        <v>44</v>
      </c>
      <c r="E94" s="7">
        <v>14794</v>
      </c>
      <c r="F94"/>
      <c r="G94"/>
      <c r="H94" s="37">
        <f>0.6798-1.82- 0.945</f>
        <v>-2.0851999999999999</v>
      </c>
      <c r="I94" s="33">
        <v>169.8</v>
      </c>
      <c r="J94" s="27">
        <v>166.4</v>
      </c>
      <c r="K94" s="34">
        <f>J94-I94</f>
        <v>-3.4000000000000057</v>
      </c>
      <c r="L94" s="114">
        <f>-(940-36+6-114-7)</f>
        <v>-789</v>
      </c>
      <c r="M94" s="46">
        <f>0.6824-1.82- 0.945</f>
        <v>-2.0825999999999998</v>
      </c>
    </row>
    <row r="95" spans="1:13" x14ac:dyDescent="0.2">
      <c r="A95" t="s">
        <v>81</v>
      </c>
      <c r="B95" t="s">
        <v>82</v>
      </c>
      <c r="C95" s="40">
        <v>43971</v>
      </c>
      <c r="D95" s="2" t="s">
        <v>84</v>
      </c>
      <c r="E95" s="7">
        <v>31275</v>
      </c>
      <c r="F95"/>
      <c r="G95"/>
      <c r="H95" s="37">
        <f>H94-0.1</f>
        <v>-2.1852</v>
      </c>
      <c r="I95" s="10"/>
      <c r="J95" s="27"/>
      <c r="K95" s="27"/>
      <c r="L95" s="27"/>
      <c r="M95" s="46"/>
    </row>
    <row r="96" spans="1:13" x14ac:dyDescent="0.2">
      <c r="A96" t="s">
        <v>81</v>
      </c>
      <c r="B96" t="s">
        <v>82</v>
      </c>
      <c r="C96" s="40">
        <v>43971</v>
      </c>
      <c r="D96" s="41" t="s">
        <v>23</v>
      </c>
      <c r="E96" s="42"/>
      <c r="F96"/>
      <c r="G96"/>
      <c r="H96" s="53">
        <v>-2.9786000000000001</v>
      </c>
      <c r="I96" s="10"/>
      <c r="J96" s="27"/>
      <c r="K96" s="27"/>
      <c r="L96" s="27"/>
      <c r="M96" s="45">
        <v>-2.9786000000000001</v>
      </c>
    </row>
    <row r="97" spans="1:13" x14ac:dyDescent="0.2">
      <c r="A97" t="s">
        <v>81</v>
      </c>
      <c r="B97" t="s">
        <v>82</v>
      </c>
      <c r="C97" s="40">
        <v>43971</v>
      </c>
      <c r="D97" s="41" t="s">
        <v>15</v>
      </c>
      <c r="E97" s="7">
        <v>29457</v>
      </c>
      <c r="F97"/>
      <c r="G97"/>
      <c r="H97" s="19">
        <v>-2.7526000000000002</v>
      </c>
      <c r="I97" s="10"/>
      <c r="J97" s="27"/>
      <c r="K97" s="27"/>
      <c r="L97" s="27"/>
      <c r="M97" s="50" t="s">
        <v>42</v>
      </c>
    </row>
    <row r="98" spans="1:13" x14ac:dyDescent="0.2">
      <c r="A98" t="s">
        <v>81</v>
      </c>
      <c r="B98" t="s">
        <v>82</v>
      </c>
      <c r="C98" s="40">
        <v>43999</v>
      </c>
      <c r="D98" s="41" t="s">
        <v>21</v>
      </c>
      <c r="E98" s="42"/>
      <c r="F98">
        <v>156334</v>
      </c>
      <c r="G98">
        <v>516322</v>
      </c>
      <c r="H98" s="37">
        <v>2.3990999999999998</v>
      </c>
      <c r="I98" s="10"/>
      <c r="J98" s="27"/>
      <c r="K98" s="27"/>
      <c r="L98" s="27"/>
      <c r="M98" s="51">
        <v>2.3990999999999998</v>
      </c>
    </row>
    <row r="99" spans="1:13" x14ac:dyDescent="0.2">
      <c r="A99" t="s">
        <v>81</v>
      </c>
      <c r="B99" t="s">
        <v>82</v>
      </c>
      <c r="C99" s="40">
        <v>43999</v>
      </c>
      <c r="D99" s="41" t="s">
        <v>17</v>
      </c>
      <c r="E99" s="7">
        <v>27047</v>
      </c>
      <c r="F99" s="20"/>
      <c r="G99"/>
      <c r="H99" s="37">
        <f>1.3905-2.967</f>
        <v>-1.5765</v>
      </c>
      <c r="I99" s="10"/>
      <c r="J99" s="27"/>
      <c r="K99" s="27"/>
      <c r="L99" s="27"/>
      <c r="M99" s="50">
        <f>1.3821-2.967</f>
        <v>-1.5849</v>
      </c>
    </row>
    <row r="100" spans="1:13" x14ac:dyDescent="0.2">
      <c r="A100" t="s">
        <v>81</v>
      </c>
      <c r="B100" t="s">
        <v>82</v>
      </c>
      <c r="C100" s="40">
        <v>43999</v>
      </c>
      <c r="D100" s="2" t="s">
        <v>44</v>
      </c>
      <c r="E100" s="7">
        <v>14794</v>
      </c>
      <c r="F100"/>
      <c r="G100"/>
      <c r="H100" s="37">
        <f>0.6798-1.82- 0.945</f>
        <v>-2.0851999999999999</v>
      </c>
      <c r="I100" s="33">
        <v>169.8</v>
      </c>
      <c r="J100" s="27">
        <v>166.4</v>
      </c>
      <c r="K100" s="34">
        <f>J100-I100</f>
        <v>-3.4000000000000057</v>
      </c>
      <c r="L100" s="116">
        <f>-(940-36+6-114-7)</f>
        <v>-789</v>
      </c>
      <c r="M100" s="46">
        <f>0.6801-1.82- 0.945</f>
        <v>-2.0848999999999998</v>
      </c>
    </row>
    <row r="101" spans="1:13" x14ac:dyDescent="0.2">
      <c r="A101" t="s">
        <v>81</v>
      </c>
      <c r="B101" t="s">
        <v>82</v>
      </c>
      <c r="C101" s="40">
        <v>43999</v>
      </c>
      <c r="D101" s="2" t="s">
        <v>84</v>
      </c>
      <c r="E101" s="7">
        <v>31275</v>
      </c>
      <c r="F101"/>
      <c r="G101"/>
      <c r="H101" s="37">
        <f>H100-0.1</f>
        <v>-2.1852</v>
      </c>
      <c r="I101" s="10"/>
      <c r="J101" s="27"/>
      <c r="K101" s="27"/>
      <c r="L101" s="27"/>
      <c r="M101" s="46"/>
    </row>
    <row r="102" spans="1:13" x14ac:dyDescent="0.2">
      <c r="A102" t="s">
        <v>81</v>
      </c>
      <c r="B102" t="s">
        <v>82</v>
      </c>
      <c r="C102" s="40">
        <v>43999</v>
      </c>
      <c r="D102" s="41" t="s">
        <v>23</v>
      </c>
      <c r="E102" s="42"/>
      <c r="F102"/>
      <c r="G102"/>
      <c r="H102" s="53">
        <v>-2.9441000000000002</v>
      </c>
      <c r="I102" s="10"/>
      <c r="J102" s="27"/>
      <c r="K102" s="27"/>
      <c r="L102" s="27"/>
      <c r="M102" s="45">
        <v>-2.9441000000000002</v>
      </c>
    </row>
    <row r="103" spans="1:13" x14ac:dyDescent="0.2">
      <c r="A103" t="s">
        <v>81</v>
      </c>
      <c r="B103" t="s">
        <v>82</v>
      </c>
      <c r="C103" s="40">
        <v>43999</v>
      </c>
      <c r="D103" s="41" t="s">
        <v>15</v>
      </c>
      <c r="E103" s="7">
        <v>29457</v>
      </c>
      <c r="F103"/>
      <c r="G103"/>
      <c r="H103" s="19">
        <v>-2.7526000000000002</v>
      </c>
      <c r="I103" s="10"/>
      <c r="J103" s="27"/>
      <c r="K103" s="27"/>
      <c r="L103" s="27"/>
      <c r="M103" s="50" t="s">
        <v>42</v>
      </c>
    </row>
    <row r="104" spans="1:13" x14ac:dyDescent="0.2">
      <c r="A104" t="s">
        <v>81</v>
      </c>
      <c r="B104" t="s">
        <v>82</v>
      </c>
      <c r="C104" s="40">
        <v>44025</v>
      </c>
      <c r="D104" s="41" t="s">
        <v>21</v>
      </c>
      <c r="E104" s="42"/>
      <c r="F104">
        <v>156334</v>
      </c>
      <c r="G104">
        <v>516322</v>
      </c>
      <c r="H104" s="37">
        <v>2.3990999999999998</v>
      </c>
      <c r="I104" s="10"/>
      <c r="J104" s="27"/>
      <c r="K104" s="27"/>
      <c r="L104" s="27"/>
      <c r="M104" s="51">
        <v>2.3919999999999999</v>
      </c>
    </row>
    <row r="105" spans="1:13" x14ac:dyDescent="0.2">
      <c r="A105" t="s">
        <v>81</v>
      </c>
      <c r="B105" t="s">
        <v>82</v>
      </c>
      <c r="C105" s="40">
        <v>44025</v>
      </c>
      <c r="D105" s="41" t="s">
        <v>17</v>
      </c>
      <c r="E105" s="7">
        <v>27047</v>
      </c>
      <c r="F105" s="20"/>
      <c r="G105"/>
      <c r="H105" s="37">
        <f>1.3905-2.967</f>
        <v>-1.5765</v>
      </c>
      <c r="I105" s="10"/>
      <c r="J105" s="27"/>
      <c r="K105" s="27"/>
      <c r="L105" s="27"/>
      <c r="M105" s="134">
        <f>1.3604-2.967</f>
        <v>-1.6066</v>
      </c>
    </row>
    <row r="106" spans="1:13" x14ac:dyDescent="0.2">
      <c r="A106" t="s">
        <v>81</v>
      </c>
      <c r="B106" t="s">
        <v>82</v>
      </c>
      <c r="C106" s="40">
        <v>44025</v>
      </c>
      <c r="D106" s="2" t="s">
        <v>44</v>
      </c>
      <c r="E106" s="7">
        <v>14794</v>
      </c>
      <c r="F106"/>
      <c r="G106"/>
      <c r="H106" s="37">
        <f>0.6798-1.82- 0.945</f>
        <v>-2.0851999999999999</v>
      </c>
      <c r="I106" s="33">
        <v>169.8</v>
      </c>
      <c r="J106" s="27">
        <v>166.4</v>
      </c>
      <c r="K106" s="34">
        <f>J106-I106</f>
        <v>-3.4000000000000057</v>
      </c>
      <c r="L106" s="116">
        <f>-(940-36+6-114-7)</f>
        <v>-789</v>
      </c>
      <c r="M106" s="46">
        <f>0.6522-1.82- 0.945</f>
        <v>-2.1128</v>
      </c>
    </row>
    <row r="107" spans="1:13" x14ac:dyDescent="0.2">
      <c r="A107" t="s">
        <v>81</v>
      </c>
      <c r="B107" t="s">
        <v>82</v>
      </c>
      <c r="C107" s="40">
        <v>44025</v>
      </c>
      <c r="D107" s="2" t="s">
        <v>84</v>
      </c>
      <c r="E107" s="7">
        <v>31275</v>
      </c>
      <c r="F107"/>
      <c r="G107"/>
      <c r="H107" s="37">
        <f>H106-0.1</f>
        <v>-2.1852</v>
      </c>
      <c r="I107" s="10"/>
      <c r="J107" s="27"/>
      <c r="K107" s="27"/>
      <c r="L107" s="27"/>
      <c r="M107" s="46"/>
    </row>
    <row r="108" spans="1:13" x14ac:dyDescent="0.2">
      <c r="A108" t="s">
        <v>81</v>
      </c>
      <c r="B108" t="s">
        <v>82</v>
      </c>
      <c r="C108" s="40">
        <v>44025</v>
      </c>
      <c r="D108" s="41" t="s">
        <v>23</v>
      </c>
      <c r="E108" s="42"/>
      <c r="F108"/>
      <c r="G108"/>
      <c r="H108" s="53">
        <v>-2.9441000000000002</v>
      </c>
      <c r="I108" s="10"/>
      <c r="J108" s="27"/>
      <c r="K108" s="27"/>
      <c r="L108" s="27"/>
      <c r="M108" s="45">
        <v>-2.9228000000000001</v>
      </c>
    </row>
    <row r="109" spans="1:13" x14ac:dyDescent="0.2">
      <c r="A109" t="s">
        <v>81</v>
      </c>
      <c r="B109" t="s">
        <v>82</v>
      </c>
      <c r="C109" s="40">
        <v>44025</v>
      </c>
      <c r="D109" s="41" t="s">
        <v>15</v>
      </c>
      <c r="E109" s="7">
        <v>29457</v>
      </c>
      <c r="F109"/>
      <c r="G109"/>
      <c r="H109" s="19">
        <v>-2.7526000000000002</v>
      </c>
      <c r="I109" s="10"/>
      <c r="J109" s="27"/>
      <c r="K109" s="27"/>
      <c r="L109" s="27"/>
      <c r="M109" s="50" t="s">
        <v>42</v>
      </c>
    </row>
    <row r="110" spans="1:13" x14ac:dyDescent="0.2">
      <c r="A110" t="s">
        <v>81</v>
      </c>
      <c r="B110" t="s">
        <v>82</v>
      </c>
      <c r="C110" s="5">
        <v>44053</v>
      </c>
      <c r="D110" s="41" t="s">
        <v>21</v>
      </c>
      <c r="E110" s="42"/>
      <c r="F110">
        <v>156334</v>
      </c>
      <c r="G110">
        <v>516322</v>
      </c>
      <c r="H110" s="37">
        <v>2.3990999999999998</v>
      </c>
      <c r="I110" s="10"/>
      <c r="J110" s="27"/>
      <c r="K110" s="27"/>
      <c r="L110" s="27"/>
      <c r="M110" s="81" t="s">
        <v>202</v>
      </c>
    </row>
    <row r="111" spans="1:13" x14ac:dyDescent="0.2">
      <c r="A111" t="s">
        <v>81</v>
      </c>
      <c r="B111" t="s">
        <v>82</v>
      </c>
      <c r="C111" s="5">
        <v>44053</v>
      </c>
      <c r="D111" t="s">
        <v>17</v>
      </c>
      <c r="E111" s="7">
        <v>27047</v>
      </c>
      <c r="F111"/>
      <c r="G111"/>
      <c r="H111" s="37">
        <f>1.3905-2.967</f>
        <v>-1.5765</v>
      </c>
      <c r="I111" s="10"/>
      <c r="J111" s="27"/>
      <c r="K111" s="27"/>
      <c r="L111" s="27"/>
      <c r="M111" s="51">
        <v>-1.59</v>
      </c>
    </row>
    <row r="112" spans="1:13" x14ac:dyDescent="0.2">
      <c r="A112" t="s">
        <v>81</v>
      </c>
      <c r="B112" t="s">
        <v>82</v>
      </c>
      <c r="C112" s="5">
        <v>44053</v>
      </c>
      <c r="D112" t="s">
        <v>44</v>
      </c>
      <c r="E112" s="7">
        <v>14794</v>
      </c>
      <c r="F112"/>
      <c r="G112"/>
      <c r="H112" s="37">
        <f>0.6798-1.82- 0.945</f>
        <v>-2.0851999999999999</v>
      </c>
      <c r="I112" s="33">
        <v>169.8</v>
      </c>
      <c r="J112" s="27">
        <v>166.4</v>
      </c>
      <c r="K112" s="34">
        <f>J112-I112</f>
        <v>-3.4000000000000057</v>
      </c>
      <c r="L112" s="116">
        <f>-(940-36+6-114-7)</f>
        <v>-789</v>
      </c>
      <c r="M112" s="51">
        <v>-2.09</v>
      </c>
    </row>
    <row r="113" spans="1:13" x14ac:dyDescent="0.2">
      <c r="A113" t="s">
        <v>81</v>
      </c>
      <c r="B113" t="s">
        <v>82</v>
      </c>
      <c r="C113" s="5">
        <v>44053</v>
      </c>
      <c r="D113" t="s">
        <v>84</v>
      </c>
      <c r="E113" s="7">
        <v>31275</v>
      </c>
      <c r="F113"/>
      <c r="G113"/>
      <c r="H113" s="37">
        <f>H112-0.1</f>
        <v>-2.1852</v>
      </c>
      <c r="I113" s="10"/>
      <c r="J113" s="27"/>
      <c r="K113" s="27"/>
      <c r="L113" s="27"/>
      <c r="M113" s="51"/>
    </row>
    <row r="114" spans="1:13" x14ac:dyDescent="0.2">
      <c r="A114" t="s">
        <v>81</v>
      </c>
      <c r="B114" t="s">
        <v>82</v>
      </c>
      <c r="C114" s="5">
        <v>44053</v>
      </c>
      <c r="D114" t="s">
        <v>23</v>
      </c>
      <c r="E114" s="7"/>
      <c r="F114"/>
      <c r="G114"/>
      <c r="H114" s="53">
        <v>-2.9441000000000002</v>
      </c>
      <c r="I114" s="10"/>
      <c r="J114" s="27"/>
      <c r="K114" s="27"/>
      <c r="L114" s="27"/>
      <c r="M114" s="51">
        <v>-2.95</v>
      </c>
    </row>
    <row r="115" spans="1:13" x14ac:dyDescent="0.2">
      <c r="A115" t="s">
        <v>81</v>
      </c>
      <c r="B115" t="s">
        <v>82</v>
      </c>
      <c r="C115" s="5">
        <v>44053</v>
      </c>
      <c r="D115" t="s">
        <v>15</v>
      </c>
      <c r="E115" s="7">
        <v>29457</v>
      </c>
      <c r="F115"/>
      <c r="G115"/>
      <c r="H115" s="19">
        <v>-2.7526000000000002</v>
      </c>
      <c r="I115" s="10"/>
      <c r="J115" s="27"/>
      <c r="K115" s="27"/>
      <c r="L115" s="27"/>
      <c r="M115" s="51" t="s">
        <v>42</v>
      </c>
    </row>
    <row r="116" spans="1:13" x14ac:dyDescent="0.2">
      <c r="A116" t="s">
        <v>81</v>
      </c>
      <c r="B116" t="s">
        <v>82</v>
      </c>
      <c r="C116" s="5">
        <v>44081</v>
      </c>
      <c r="D116" s="41" t="s">
        <v>21</v>
      </c>
      <c r="E116" s="42"/>
      <c r="F116">
        <v>156334</v>
      </c>
      <c r="G116">
        <v>516322</v>
      </c>
      <c r="H116" s="37">
        <v>2.387</v>
      </c>
      <c r="I116" s="10"/>
      <c r="J116" s="27"/>
      <c r="K116" s="27"/>
      <c r="L116" s="27"/>
      <c r="M116" s="51">
        <v>2.387</v>
      </c>
    </row>
    <row r="117" spans="1:13" x14ac:dyDescent="0.2">
      <c r="A117" t="s">
        <v>81</v>
      </c>
      <c r="B117" t="s">
        <v>82</v>
      </c>
      <c r="C117" s="5">
        <v>44081</v>
      </c>
      <c r="D117" t="s">
        <v>17</v>
      </c>
      <c r="E117" s="7">
        <v>27047</v>
      </c>
      <c r="F117"/>
      <c r="G117"/>
      <c r="H117" s="53">
        <v>-1.62</v>
      </c>
      <c r="I117" s="10"/>
      <c r="J117" s="27"/>
      <c r="K117" s="27"/>
      <c r="L117" s="27"/>
      <c r="M117" s="86" t="s">
        <v>203</v>
      </c>
    </row>
    <row r="118" spans="1:13" x14ac:dyDescent="0.2">
      <c r="A118" t="s">
        <v>81</v>
      </c>
      <c r="B118" t="s">
        <v>82</v>
      </c>
      <c r="C118" s="5">
        <v>44081</v>
      </c>
      <c r="D118" t="s">
        <v>44</v>
      </c>
      <c r="E118" s="7">
        <v>14794</v>
      </c>
      <c r="F118"/>
      <c r="G118"/>
      <c r="H118" s="37">
        <f>0.6798-1.82- 0.945</f>
        <v>-2.0851999999999999</v>
      </c>
      <c r="I118" s="33">
        <v>169.8</v>
      </c>
      <c r="J118" s="27">
        <v>166.4</v>
      </c>
      <c r="K118" s="34">
        <f>J118-I118</f>
        <v>-3.4000000000000057</v>
      </c>
      <c r="L118" s="116">
        <f>-(940-36+6-114-7)</f>
        <v>-789</v>
      </c>
      <c r="M118" s="81">
        <f>0.6569-1.82- 0.945</f>
        <v>-2.1080999999999999</v>
      </c>
    </row>
    <row r="119" spans="1:13" x14ac:dyDescent="0.2">
      <c r="A119" t="s">
        <v>81</v>
      </c>
      <c r="B119" t="s">
        <v>82</v>
      </c>
      <c r="C119" s="5">
        <v>44081</v>
      </c>
      <c r="D119" t="s">
        <v>84</v>
      </c>
      <c r="E119" s="7">
        <v>31275</v>
      </c>
      <c r="F119"/>
      <c r="G119"/>
      <c r="H119" s="37">
        <f>H118-0.1</f>
        <v>-2.1852</v>
      </c>
      <c r="I119" s="10"/>
      <c r="J119" s="27"/>
      <c r="K119" s="27"/>
      <c r="L119" s="27"/>
      <c r="M119" s="81"/>
    </row>
    <row r="120" spans="1:13" x14ac:dyDescent="0.2">
      <c r="A120" t="s">
        <v>81</v>
      </c>
      <c r="B120" t="s">
        <v>82</v>
      </c>
      <c r="C120" s="5">
        <v>44081</v>
      </c>
      <c r="D120" t="s">
        <v>23</v>
      </c>
      <c r="E120" s="7"/>
      <c r="F120"/>
      <c r="G120"/>
      <c r="H120" s="53">
        <v>-2.9441000000000002</v>
      </c>
      <c r="I120" s="10"/>
      <c r="J120" s="27"/>
      <c r="K120" s="27"/>
      <c r="L120" s="27"/>
      <c r="M120" s="81">
        <v>-2.9651999999999998</v>
      </c>
    </row>
    <row r="121" spans="1:13" x14ac:dyDescent="0.2">
      <c r="A121" t="s">
        <v>81</v>
      </c>
      <c r="B121" t="s">
        <v>82</v>
      </c>
      <c r="C121" s="5">
        <v>44081</v>
      </c>
      <c r="D121" t="s">
        <v>15</v>
      </c>
      <c r="E121" s="7">
        <v>29457</v>
      </c>
      <c r="F121"/>
      <c r="G121"/>
      <c r="H121" s="19">
        <v>-2.7526000000000002</v>
      </c>
      <c r="I121" s="10"/>
      <c r="J121" s="27"/>
      <c r="K121" s="27"/>
      <c r="L121" s="27"/>
      <c r="M121" s="81" t="s">
        <v>42</v>
      </c>
    </row>
    <row r="122" spans="1:13" x14ac:dyDescent="0.2">
      <c r="A122" t="s">
        <v>81</v>
      </c>
      <c r="B122" t="s">
        <v>82</v>
      </c>
      <c r="C122" s="5">
        <v>44139</v>
      </c>
      <c r="D122" s="41" t="s">
        <v>21</v>
      </c>
      <c r="E122" s="42"/>
      <c r="F122">
        <v>156334</v>
      </c>
      <c r="G122">
        <v>516322</v>
      </c>
      <c r="H122" s="37">
        <v>2.387</v>
      </c>
      <c r="I122" s="10"/>
      <c r="J122" s="27"/>
      <c r="K122" s="27"/>
      <c r="L122" s="27"/>
      <c r="M122" s="81">
        <v>2.3626999999999998</v>
      </c>
    </row>
    <row r="123" spans="1:13" x14ac:dyDescent="0.2">
      <c r="A123" t="s">
        <v>81</v>
      </c>
      <c r="B123" t="s">
        <v>82</v>
      </c>
      <c r="C123" s="5">
        <v>44139</v>
      </c>
      <c r="D123" t="s">
        <v>17</v>
      </c>
      <c r="E123" s="7">
        <v>27047</v>
      </c>
      <c r="F123"/>
      <c r="G123"/>
      <c r="H123" s="32">
        <f>1.3441-2.967</f>
        <v>-1.6229</v>
      </c>
      <c r="I123" s="10"/>
      <c r="J123" s="27"/>
      <c r="K123" s="27"/>
      <c r="L123" s="27"/>
      <c r="M123" s="75" t="s">
        <v>205</v>
      </c>
    </row>
    <row r="124" spans="1:13" x14ac:dyDescent="0.2">
      <c r="A124" t="s">
        <v>81</v>
      </c>
      <c r="B124" t="s">
        <v>82</v>
      </c>
      <c r="C124" s="5">
        <v>44139</v>
      </c>
      <c r="D124" t="s">
        <v>44</v>
      </c>
      <c r="E124" s="7">
        <v>14794</v>
      </c>
      <c r="F124"/>
      <c r="G124"/>
      <c r="H124" s="37">
        <f>0.6798-1.82- 0.945</f>
        <v>-2.0851999999999999</v>
      </c>
      <c r="I124" s="33">
        <v>169.8</v>
      </c>
      <c r="J124" s="27">
        <v>166.4</v>
      </c>
      <c r="K124" s="34">
        <f>J124-I124</f>
        <v>-3.4000000000000057</v>
      </c>
      <c r="L124" s="116">
        <f>-(940-36+6-114-7)</f>
        <v>-789</v>
      </c>
      <c r="M124" s="51">
        <f>0.6716-1.82- 0.945</f>
        <v>-2.0933999999999999</v>
      </c>
    </row>
    <row r="125" spans="1:13" x14ac:dyDescent="0.2">
      <c r="A125" t="s">
        <v>81</v>
      </c>
      <c r="B125" t="s">
        <v>82</v>
      </c>
      <c r="C125" s="5">
        <v>44139</v>
      </c>
      <c r="D125" t="s">
        <v>84</v>
      </c>
      <c r="E125" s="7">
        <v>31275</v>
      </c>
      <c r="F125"/>
      <c r="G125"/>
      <c r="H125" s="37">
        <f>H124-0.1</f>
        <v>-2.1852</v>
      </c>
      <c r="I125" s="10"/>
      <c r="J125" s="27"/>
      <c r="K125" s="27"/>
      <c r="L125" s="27"/>
      <c r="M125" s="51"/>
    </row>
    <row r="126" spans="1:13" x14ac:dyDescent="0.2">
      <c r="A126" t="s">
        <v>81</v>
      </c>
      <c r="B126" t="s">
        <v>82</v>
      </c>
      <c r="C126" s="5">
        <v>44139</v>
      </c>
      <c r="D126" t="s">
        <v>23</v>
      </c>
      <c r="E126" s="7"/>
      <c r="F126"/>
      <c r="G126"/>
      <c r="H126" s="53">
        <v>-2.9441000000000002</v>
      </c>
      <c r="I126" s="10"/>
      <c r="J126" s="27"/>
      <c r="K126" s="27"/>
      <c r="L126" s="27"/>
      <c r="M126" s="51">
        <v>-2.9651999999999998</v>
      </c>
    </row>
    <row r="127" spans="1:13" x14ac:dyDescent="0.2">
      <c r="A127" t="s">
        <v>81</v>
      </c>
      <c r="B127" t="s">
        <v>82</v>
      </c>
      <c r="C127" s="5">
        <v>44139</v>
      </c>
      <c r="D127" t="s">
        <v>15</v>
      </c>
      <c r="E127" s="7">
        <v>29457</v>
      </c>
      <c r="F127"/>
      <c r="G127"/>
      <c r="H127" s="19">
        <v>-2.7526000000000002</v>
      </c>
      <c r="I127" s="10"/>
      <c r="J127" s="27"/>
      <c r="K127" s="27"/>
      <c r="L127" s="27"/>
      <c r="M127" s="51" t="s">
        <v>42</v>
      </c>
    </row>
    <row r="128" spans="1:13" x14ac:dyDescent="0.2">
      <c r="A128" t="s">
        <v>81</v>
      </c>
      <c r="B128" t="s">
        <v>82</v>
      </c>
      <c r="C128" s="5">
        <v>44165</v>
      </c>
      <c r="D128" s="41" t="s">
        <v>21</v>
      </c>
      <c r="E128" s="42"/>
      <c r="F128">
        <v>156334</v>
      </c>
      <c r="G128">
        <v>516322</v>
      </c>
      <c r="H128" s="37">
        <v>2.387</v>
      </c>
      <c r="I128" s="10"/>
      <c r="J128" s="27"/>
      <c r="K128" s="27"/>
      <c r="L128" s="27"/>
      <c r="M128" s="51">
        <v>2.3881999999999999</v>
      </c>
    </row>
    <row r="129" spans="1:14" x14ac:dyDescent="0.2">
      <c r="A129" t="s">
        <v>81</v>
      </c>
      <c r="B129" t="s">
        <v>82</v>
      </c>
      <c r="C129" s="5">
        <v>44165</v>
      </c>
      <c r="D129" t="s">
        <v>17</v>
      </c>
      <c r="E129" s="7">
        <v>27047</v>
      </c>
      <c r="F129"/>
      <c r="G129"/>
      <c r="H129" s="107">
        <f>1.3869-2.967</f>
        <v>-1.5801000000000001</v>
      </c>
      <c r="I129" s="10"/>
      <c r="J129" s="27"/>
      <c r="K129" s="27"/>
      <c r="L129" s="27"/>
      <c r="M129" s="106" t="s">
        <v>207</v>
      </c>
    </row>
    <row r="130" spans="1:14" x14ac:dyDescent="0.2">
      <c r="A130" t="s">
        <v>81</v>
      </c>
      <c r="B130" t="s">
        <v>82</v>
      </c>
      <c r="C130" s="5">
        <v>44165</v>
      </c>
      <c r="D130" t="s">
        <v>44</v>
      </c>
      <c r="E130" s="7">
        <v>14794</v>
      </c>
      <c r="F130"/>
      <c r="G130"/>
      <c r="H130" s="37">
        <f>0.6798-1.82- 0.945</f>
        <v>-2.0851999999999999</v>
      </c>
      <c r="I130" s="33">
        <v>169.8</v>
      </c>
      <c r="J130" s="27">
        <v>166.4</v>
      </c>
      <c r="K130" s="34">
        <f>J130-I130</f>
        <v>-3.4000000000000057</v>
      </c>
      <c r="L130" s="114">
        <v>-793</v>
      </c>
      <c r="M130" s="51" t="s">
        <v>206</v>
      </c>
    </row>
    <row r="131" spans="1:14" x14ac:dyDescent="0.2">
      <c r="A131" t="s">
        <v>81</v>
      </c>
      <c r="B131" t="s">
        <v>82</v>
      </c>
      <c r="C131" s="5">
        <v>44165</v>
      </c>
      <c r="D131" t="s">
        <v>84</v>
      </c>
      <c r="E131" s="7">
        <v>31275</v>
      </c>
      <c r="F131"/>
      <c r="G131"/>
      <c r="H131" s="37">
        <f>H130-0.1</f>
        <v>-2.1852</v>
      </c>
      <c r="I131" s="10"/>
      <c r="J131" s="27"/>
      <c r="K131" s="27"/>
      <c r="L131" s="27"/>
      <c r="M131" s="51"/>
    </row>
    <row r="132" spans="1:14" x14ac:dyDescent="0.2">
      <c r="A132" t="s">
        <v>81</v>
      </c>
      <c r="B132" t="s">
        <v>82</v>
      </c>
      <c r="C132" s="5">
        <v>44165</v>
      </c>
      <c r="D132" t="s">
        <v>23</v>
      </c>
      <c r="E132" s="7"/>
      <c r="F132"/>
      <c r="G132"/>
      <c r="H132" s="53">
        <v>-2.9445999999999999</v>
      </c>
      <c r="I132" s="10"/>
      <c r="J132" s="27"/>
      <c r="K132" s="27"/>
      <c r="L132" s="27"/>
      <c r="M132" s="51">
        <v>-2.9445999999999999</v>
      </c>
    </row>
    <row r="133" spans="1:14" x14ac:dyDescent="0.2">
      <c r="A133" t="s">
        <v>81</v>
      </c>
      <c r="B133" t="s">
        <v>82</v>
      </c>
      <c r="C133" s="5">
        <v>44165</v>
      </c>
      <c r="D133" t="s">
        <v>15</v>
      </c>
      <c r="E133" s="7">
        <v>29457</v>
      </c>
      <c r="F133"/>
      <c r="G133"/>
      <c r="H133" s="19">
        <v>-2.7526000000000002</v>
      </c>
      <c r="I133" s="10"/>
      <c r="J133" s="27"/>
      <c r="K133" s="27"/>
      <c r="L133" s="27"/>
      <c r="M133" s="51" t="s">
        <v>42</v>
      </c>
    </row>
    <row r="134" spans="1:14" x14ac:dyDescent="0.2">
      <c r="A134" t="s">
        <v>81</v>
      </c>
      <c r="B134" t="s">
        <v>82</v>
      </c>
      <c r="C134" s="5">
        <v>44222</v>
      </c>
      <c r="D134" s="41" t="s">
        <v>21</v>
      </c>
      <c r="E134" s="42"/>
      <c r="F134">
        <v>156334</v>
      </c>
      <c r="G134">
        <v>516322</v>
      </c>
      <c r="H134" s="37">
        <v>2.387</v>
      </c>
      <c r="I134" s="10"/>
      <c r="J134" s="27"/>
      <c r="K134" s="27"/>
      <c r="L134" s="27"/>
      <c r="M134" s="51">
        <v>2.3633999999999999</v>
      </c>
    </row>
    <row r="135" spans="1:14" x14ac:dyDescent="0.2">
      <c r="A135" t="s">
        <v>81</v>
      </c>
      <c r="B135" t="s">
        <v>82</v>
      </c>
      <c r="C135" s="5">
        <v>44222</v>
      </c>
      <c r="D135" t="s">
        <v>17</v>
      </c>
      <c r="E135" s="7">
        <v>27047</v>
      </c>
      <c r="F135"/>
      <c r="G135"/>
      <c r="H135" s="107">
        <f>1.3869-2.967</f>
        <v>-1.5801000000000001</v>
      </c>
      <c r="I135" s="10"/>
      <c r="J135" s="27"/>
      <c r="K135" s="27"/>
      <c r="L135" s="27"/>
      <c r="M135" s="106" t="s">
        <v>217</v>
      </c>
    </row>
    <row r="136" spans="1:14" x14ac:dyDescent="0.2">
      <c r="A136" t="s">
        <v>81</v>
      </c>
      <c r="B136" t="s">
        <v>82</v>
      </c>
      <c r="C136" s="5">
        <v>44222</v>
      </c>
      <c r="D136" t="s">
        <v>44</v>
      </c>
      <c r="E136" s="7">
        <v>14794</v>
      </c>
      <c r="F136"/>
      <c r="G136"/>
      <c r="H136" s="37">
        <f>0.6798-1.82- 0.945</f>
        <v>-2.0851999999999999</v>
      </c>
      <c r="I136" s="33">
        <v>169.8</v>
      </c>
      <c r="J136" s="27">
        <v>166.4</v>
      </c>
      <c r="K136" s="34">
        <f>J136-I136</f>
        <v>-3.4000000000000057</v>
      </c>
      <c r="L136" s="116">
        <v>-793</v>
      </c>
      <c r="M136" s="81">
        <f>0.6755-1.82-0.945</f>
        <v>-2.0895000000000001</v>
      </c>
    </row>
    <row r="137" spans="1:14" x14ac:dyDescent="0.2">
      <c r="A137" t="s">
        <v>81</v>
      </c>
      <c r="B137" t="s">
        <v>82</v>
      </c>
      <c r="C137" s="5">
        <v>44222</v>
      </c>
      <c r="D137" t="s">
        <v>84</v>
      </c>
      <c r="E137" s="7">
        <v>31275</v>
      </c>
      <c r="F137"/>
      <c r="G137"/>
      <c r="H137" s="37">
        <f>H136-0.1</f>
        <v>-2.1852</v>
      </c>
      <c r="I137" s="10"/>
      <c r="J137" s="27"/>
      <c r="K137" s="27"/>
      <c r="L137" s="27"/>
      <c r="M137" s="51"/>
    </row>
    <row r="138" spans="1:14" x14ac:dyDescent="0.2">
      <c r="A138" t="s">
        <v>81</v>
      </c>
      <c r="B138" t="s">
        <v>82</v>
      </c>
      <c r="C138" s="5">
        <v>44222</v>
      </c>
      <c r="D138" t="s">
        <v>23</v>
      </c>
      <c r="E138" s="7"/>
      <c r="F138"/>
      <c r="G138"/>
      <c r="H138" s="53">
        <v>-2.9445999999999999</v>
      </c>
      <c r="I138" s="10"/>
      <c r="J138" s="27"/>
      <c r="K138" s="27"/>
      <c r="L138" s="27"/>
      <c r="M138" s="51">
        <v>-2.9592000000000001</v>
      </c>
    </row>
    <row r="139" spans="1:14" s="126" customFormat="1" ht="13.5" thickBot="1" x14ac:dyDescent="0.25">
      <c r="A139" s="118" t="s">
        <v>81</v>
      </c>
      <c r="B139" s="118" t="s">
        <v>82</v>
      </c>
      <c r="C139" s="129">
        <v>44222</v>
      </c>
      <c r="D139" s="118" t="s">
        <v>15</v>
      </c>
      <c r="E139" s="121">
        <v>29457</v>
      </c>
      <c r="F139" s="118"/>
      <c r="G139" s="118"/>
      <c r="H139" s="168">
        <v>-2.7526000000000002</v>
      </c>
      <c r="I139" s="123"/>
      <c r="J139" s="131"/>
      <c r="K139" s="131"/>
      <c r="L139" s="131"/>
      <c r="M139" s="164" t="s">
        <v>42</v>
      </c>
      <c r="N139" s="125"/>
    </row>
    <row r="140" spans="1:14" x14ac:dyDescent="0.2">
      <c r="A140" s="141" t="s">
        <v>81</v>
      </c>
      <c r="B140" s="141" t="s">
        <v>82</v>
      </c>
      <c r="C140" s="177">
        <v>44260</v>
      </c>
      <c r="D140" s="149" t="s">
        <v>21</v>
      </c>
      <c r="E140" s="152"/>
      <c r="F140" s="141">
        <v>156332</v>
      </c>
      <c r="G140" s="141">
        <v>516334</v>
      </c>
      <c r="H140" s="148">
        <v>2.5049000000000001</v>
      </c>
      <c r="I140" s="144"/>
      <c r="J140" s="178"/>
      <c r="K140" s="178"/>
      <c r="L140" s="178"/>
      <c r="M140" s="179">
        <v>2.5049000000000001</v>
      </c>
    </row>
    <row r="141" spans="1:14" x14ac:dyDescent="0.2">
      <c r="A141" s="141" t="s">
        <v>81</v>
      </c>
      <c r="B141" s="141" t="s">
        <v>82</v>
      </c>
      <c r="C141" s="177">
        <v>44260</v>
      </c>
      <c r="D141" s="141" t="s">
        <v>17</v>
      </c>
      <c r="E141" s="143">
        <v>27047</v>
      </c>
      <c r="F141" s="141"/>
      <c r="G141" s="141"/>
      <c r="H141" s="180">
        <v>-1.304</v>
      </c>
      <c r="I141" s="144"/>
      <c r="J141" s="178"/>
      <c r="K141" s="178"/>
      <c r="L141" s="178"/>
      <c r="M141" s="186">
        <f>1.663-2.967</f>
        <v>-1.304</v>
      </c>
    </row>
    <row r="142" spans="1:14" x14ac:dyDescent="0.2">
      <c r="A142" s="141" t="s">
        <v>81</v>
      </c>
      <c r="B142" s="141" t="s">
        <v>82</v>
      </c>
      <c r="C142" s="177">
        <v>44260</v>
      </c>
      <c r="D142" s="141" t="s">
        <v>44</v>
      </c>
      <c r="E142" s="143">
        <v>14794</v>
      </c>
      <c r="F142" s="141"/>
      <c r="G142" s="141"/>
      <c r="H142" s="187">
        <v>-2.0449000000000002</v>
      </c>
      <c r="I142" s="181">
        <v>169.8</v>
      </c>
      <c r="J142" s="178">
        <v>166.4</v>
      </c>
      <c r="K142" s="182">
        <f>J142-I142</f>
        <v>-3.4000000000000057</v>
      </c>
      <c r="L142" s="183">
        <v>-793</v>
      </c>
      <c r="M142" s="184">
        <f>0.7201-1.82-0.945</f>
        <v>-2.0449000000000002</v>
      </c>
    </row>
    <row r="143" spans="1:14" x14ac:dyDescent="0.2">
      <c r="A143" s="141" t="s">
        <v>81</v>
      </c>
      <c r="B143" s="141" t="s">
        <v>82</v>
      </c>
      <c r="C143" s="177">
        <v>44260</v>
      </c>
      <c r="D143" s="141" t="s">
        <v>84</v>
      </c>
      <c r="E143" s="143">
        <v>31275</v>
      </c>
      <c r="F143" s="141"/>
      <c r="G143" s="141"/>
      <c r="H143" s="148">
        <v>-2.1449000000000003</v>
      </c>
      <c r="I143" s="144"/>
      <c r="J143" s="178"/>
      <c r="K143" s="178"/>
      <c r="L143" s="178"/>
      <c r="M143" s="179"/>
    </row>
    <row r="144" spans="1:14" x14ac:dyDescent="0.2">
      <c r="A144" s="141" t="s">
        <v>81</v>
      </c>
      <c r="B144" s="141" t="s">
        <v>82</v>
      </c>
      <c r="C144" s="177">
        <v>44260</v>
      </c>
      <c r="D144" s="141" t="s">
        <v>23</v>
      </c>
      <c r="E144" s="143"/>
      <c r="F144" s="141"/>
      <c r="G144" s="141"/>
      <c r="H144" s="148">
        <v>-2.8483999999999998</v>
      </c>
      <c r="I144" s="144"/>
      <c r="J144" s="178"/>
      <c r="K144" s="178"/>
      <c r="L144" s="178"/>
      <c r="M144" s="179">
        <v>-2.8483999999999998</v>
      </c>
    </row>
    <row r="145" spans="1:13" x14ac:dyDescent="0.2">
      <c r="A145" s="141" t="s">
        <v>81</v>
      </c>
      <c r="B145" s="141" t="s">
        <v>82</v>
      </c>
      <c r="C145" s="177">
        <v>44260</v>
      </c>
      <c r="D145" s="141" t="s">
        <v>15</v>
      </c>
      <c r="E145" s="143">
        <v>29457</v>
      </c>
      <c r="F145" s="141"/>
      <c r="G145" s="141"/>
      <c r="H145" s="185">
        <v>-2.6673999999999998</v>
      </c>
      <c r="I145" s="144"/>
      <c r="J145" s="178"/>
      <c r="K145" s="178"/>
      <c r="L145" s="178"/>
      <c r="M145" s="179"/>
    </row>
    <row r="146" spans="1:13" x14ac:dyDescent="0.2">
      <c r="A146" s="141" t="s">
        <v>81</v>
      </c>
      <c r="B146" s="141" t="s">
        <v>82</v>
      </c>
      <c r="C146" s="177">
        <v>44285</v>
      </c>
      <c r="D146" s="149" t="s">
        <v>21</v>
      </c>
      <c r="E146" s="152"/>
      <c r="F146" s="141">
        <v>156332</v>
      </c>
      <c r="G146" s="141">
        <v>516334</v>
      </c>
      <c r="H146" s="148">
        <v>2.5049000000000001</v>
      </c>
      <c r="I146" s="144"/>
      <c r="J146" s="178"/>
      <c r="K146" s="178"/>
      <c r="L146" s="178"/>
      <c r="M146" s="179">
        <v>2.4700000000000002</v>
      </c>
    </row>
    <row r="147" spans="1:13" x14ac:dyDescent="0.2">
      <c r="A147" s="141" t="s">
        <v>81</v>
      </c>
      <c r="B147" s="141" t="s">
        <v>82</v>
      </c>
      <c r="C147" s="177">
        <v>44285</v>
      </c>
      <c r="D147" s="141" t="s">
        <v>17</v>
      </c>
      <c r="E147" s="143">
        <v>27047</v>
      </c>
      <c r="F147" s="141"/>
      <c r="G147" s="141"/>
      <c r="H147" s="180">
        <v>-1.304</v>
      </c>
      <c r="I147" s="144"/>
      <c r="J147" s="178"/>
      <c r="K147" s="178"/>
      <c r="L147" s="178"/>
      <c r="M147" s="186">
        <f>1.69-2.967</f>
        <v>-1.2770000000000001</v>
      </c>
    </row>
    <row r="148" spans="1:13" x14ac:dyDescent="0.2">
      <c r="A148" s="141" t="s">
        <v>81</v>
      </c>
      <c r="B148" s="141" t="s">
        <v>82</v>
      </c>
      <c r="C148" s="177">
        <v>44285</v>
      </c>
      <c r="D148" s="141" t="s">
        <v>44</v>
      </c>
      <c r="E148" s="143">
        <v>14794</v>
      </c>
      <c r="F148" s="141"/>
      <c r="G148" s="141"/>
      <c r="H148" s="187">
        <v>-2.0449000000000002</v>
      </c>
      <c r="I148" s="181">
        <v>169.8</v>
      </c>
      <c r="J148" s="178">
        <v>166.4</v>
      </c>
      <c r="K148" s="182">
        <f>J148-I148</f>
        <v>-3.4000000000000057</v>
      </c>
      <c r="L148" s="183">
        <v>-793</v>
      </c>
      <c r="M148" s="184">
        <f>0.73-1.82-0.945</f>
        <v>-2.0350000000000001</v>
      </c>
    </row>
    <row r="149" spans="1:13" x14ac:dyDescent="0.2">
      <c r="A149" s="141" t="s">
        <v>81</v>
      </c>
      <c r="B149" s="141" t="s">
        <v>82</v>
      </c>
      <c r="C149" s="177">
        <v>44285</v>
      </c>
      <c r="D149" s="141" t="s">
        <v>84</v>
      </c>
      <c r="E149" s="143">
        <v>31275</v>
      </c>
      <c r="F149" s="141"/>
      <c r="G149" s="141"/>
      <c r="H149" s="148">
        <v>-2.1449000000000003</v>
      </c>
      <c r="I149" s="144"/>
      <c r="J149" s="178"/>
      <c r="K149" s="178"/>
      <c r="L149" s="178"/>
      <c r="M149" s="179"/>
    </row>
    <row r="150" spans="1:13" x14ac:dyDescent="0.2">
      <c r="A150" s="141" t="s">
        <v>81</v>
      </c>
      <c r="B150" s="141" t="s">
        <v>82</v>
      </c>
      <c r="C150" s="177">
        <v>44285</v>
      </c>
      <c r="D150" s="141" t="s">
        <v>23</v>
      </c>
      <c r="E150" s="143"/>
      <c r="F150" s="141"/>
      <c r="G150" s="141"/>
      <c r="H150" s="148">
        <v>-2.8483999999999998</v>
      </c>
      <c r="I150" s="144"/>
      <c r="J150" s="178"/>
      <c r="K150" s="178"/>
      <c r="L150" s="178"/>
      <c r="M150" s="179" t="s">
        <v>221</v>
      </c>
    </row>
    <row r="151" spans="1:13" x14ac:dyDescent="0.2">
      <c r="A151" s="141" t="s">
        <v>81</v>
      </c>
      <c r="B151" s="141" t="s">
        <v>82</v>
      </c>
      <c r="C151" s="177">
        <v>44285</v>
      </c>
      <c r="D151" s="141" t="s">
        <v>15</v>
      </c>
      <c r="E151" s="143">
        <v>29457</v>
      </c>
      <c r="F151" s="141"/>
      <c r="G151" s="141"/>
      <c r="H151" s="185">
        <v>-2.6673999999999998</v>
      </c>
      <c r="I151" s="144"/>
      <c r="J151" s="178"/>
      <c r="K151" s="178"/>
      <c r="L151" s="178"/>
      <c r="M151" s="179"/>
    </row>
    <row r="152" spans="1:13" x14ac:dyDescent="0.2">
      <c r="A152"/>
      <c r="B152"/>
      <c r="C152"/>
      <c r="D152"/>
      <c r="E152" s="7"/>
      <c r="F152"/>
      <c r="G152"/>
      <c r="H152" s="10"/>
      <c r="I152" s="10"/>
      <c r="J152" s="27"/>
      <c r="K152" s="27"/>
      <c r="L152" s="27"/>
      <c r="M152" s="51"/>
    </row>
    <row r="153" spans="1:13" x14ac:dyDescent="0.2">
      <c r="A153"/>
      <c r="B153"/>
      <c r="C153"/>
      <c r="D153"/>
      <c r="E153" s="7"/>
      <c r="F153"/>
      <c r="G153"/>
      <c r="H153" s="10"/>
      <c r="I153" s="10"/>
      <c r="J153" s="27"/>
      <c r="K153" s="27"/>
      <c r="L153" s="27"/>
      <c r="M153" s="51"/>
    </row>
    <row r="154" spans="1:13" x14ac:dyDescent="0.2">
      <c r="A154"/>
      <c r="B154"/>
      <c r="C154"/>
      <c r="D154"/>
      <c r="E154" s="7"/>
      <c r="F154"/>
      <c r="G154"/>
      <c r="H154" s="10"/>
      <c r="I154" s="10"/>
      <c r="J154" s="27"/>
      <c r="K154" s="27"/>
      <c r="L154" s="27"/>
      <c r="M154" s="51"/>
    </row>
    <row r="155" spans="1:13" x14ac:dyDescent="0.2">
      <c r="A155"/>
      <c r="B155"/>
      <c r="C155"/>
      <c r="D155"/>
      <c r="E155" s="7"/>
      <c r="F155"/>
      <c r="G155"/>
      <c r="H155" s="10"/>
      <c r="I155" s="10"/>
      <c r="J155" s="27"/>
      <c r="K155" s="27"/>
      <c r="L155" s="27"/>
      <c r="M155" s="51"/>
    </row>
    <row r="156" spans="1:13" x14ac:dyDescent="0.2">
      <c r="A156"/>
      <c r="B156"/>
      <c r="C156"/>
      <c r="D156"/>
      <c r="E156" s="7"/>
      <c r="F156"/>
      <c r="G156"/>
      <c r="H156" s="10"/>
      <c r="I156" s="10"/>
      <c r="J156" s="27"/>
      <c r="K156" s="27"/>
      <c r="L156" s="27"/>
      <c r="M156" s="51"/>
    </row>
    <row r="157" spans="1:13" x14ac:dyDescent="0.2">
      <c r="A157"/>
      <c r="B157"/>
      <c r="C157"/>
      <c r="D157"/>
      <c r="E157" s="7"/>
      <c r="F157"/>
      <c r="G157"/>
      <c r="H157" s="10"/>
      <c r="I157" s="10"/>
      <c r="J157" s="27"/>
      <c r="K157" s="27"/>
      <c r="L157" s="27"/>
      <c r="M157" s="51"/>
    </row>
    <row r="158" spans="1:13" x14ac:dyDescent="0.2">
      <c r="A158"/>
      <c r="B158"/>
      <c r="C158"/>
      <c r="D158"/>
      <c r="E158" s="7"/>
      <c r="F158"/>
      <c r="G158"/>
      <c r="H158" s="10"/>
      <c r="I158" s="10"/>
      <c r="J158" s="27"/>
      <c r="K158" s="27"/>
      <c r="L158" s="27"/>
      <c r="M158" s="51"/>
    </row>
    <row r="159" spans="1:13" x14ac:dyDescent="0.2">
      <c r="A159"/>
      <c r="B159"/>
      <c r="C159"/>
      <c r="D159"/>
      <c r="E159" s="7"/>
      <c r="F159"/>
      <c r="G159"/>
      <c r="H159" s="10"/>
      <c r="I159" s="10"/>
      <c r="J159" s="27"/>
      <c r="K159" s="27"/>
      <c r="L159" s="27"/>
      <c r="M159" s="51"/>
    </row>
    <row r="160" spans="1:13" x14ac:dyDescent="0.2">
      <c r="A160"/>
      <c r="B160"/>
      <c r="C160"/>
      <c r="D160"/>
      <c r="E160" s="7"/>
      <c r="F160"/>
      <c r="G160"/>
      <c r="H160" s="10"/>
      <c r="I160" s="10"/>
      <c r="J160" s="27"/>
      <c r="K160" s="27"/>
      <c r="L160" s="27"/>
      <c r="M160" s="51"/>
    </row>
    <row r="161" spans="1:13" x14ac:dyDescent="0.2">
      <c r="A161"/>
      <c r="B161"/>
      <c r="C161"/>
      <c r="D161"/>
      <c r="E161" s="7"/>
      <c r="F161"/>
      <c r="G161"/>
      <c r="H161" s="10"/>
      <c r="I161" s="10"/>
      <c r="J161" s="27"/>
      <c r="K161" s="27"/>
      <c r="L161" s="27"/>
      <c r="M161" s="51"/>
    </row>
    <row r="162" spans="1:13" x14ac:dyDescent="0.2">
      <c r="A162"/>
      <c r="B162"/>
      <c r="C162"/>
      <c r="D162"/>
      <c r="E162" s="7"/>
      <c r="F162"/>
      <c r="G162"/>
      <c r="H162" s="10"/>
      <c r="I162" s="10"/>
      <c r="J162" s="27"/>
      <c r="K162" s="27"/>
      <c r="L162" s="27"/>
      <c r="M162" s="51"/>
    </row>
    <row r="163" spans="1:13" x14ac:dyDescent="0.2">
      <c r="A163"/>
      <c r="B163"/>
      <c r="C163"/>
      <c r="D163"/>
      <c r="E163" s="7"/>
      <c r="F163"/>
      <c r="G163"/>
      <c r="H163" s="10"/>
      <c r="I163" s="10"/>
      <c r="J163" s="27"/>
      <c r="K163" s="27"/>
      <c r="L163" s="27"/>
      <c r="M163" s="51"/>
    </row>
    <row r="164" spans="1:13" x14ac:dyDescent="0.2">
      <c r="A164"/>
      <c r="B164"/>
      <c r="C164"/>
      <c r="D164"/>
      <c r="E164" s="7"/>
      <c r="F164"/>
      <c r="G164"/>
      <c r="H164" s="10"/>
      <c r="I164" s="10"/>
      <c r="J164" s="27"/>
      <c r="K164" s="27"/>
      <c r="L164" s="27"/>
      <c r="M164" s="51"/>
    </row>
    <row r="165" spans="1:13" x14ac:dyDescent="0.2">
      <c r="A165"/>
      <c r="B165"/>
      <c r="C165"/>
      <c r="D165"/>
      <c r="E165" s="7"/>
      <c r="F165"/>
      <c r="G165"/>
      <c r="H165" s="10"/>
      <c r="I165" s="10"/>
      <c r="J165" s="27"/>
      <c r="K165" s="27"/>
      <c r="L165" s="27"/>
      <c r="M165" s="51"/>
    </row>
    <row r="166" spans="1:13" x14ac:dyDescent="0.2">
      <c r="A166"/>
      <c r="B166"/>
      <c r="C166"/>
      <c r="D166"/>
      <c r="E166" s="7"/>
      <c r="F166"/>
      <c r="G166"/>
      <c r="H166" s="10"/>
      <c r="I166" s="10"/>
      <c r="J166" s="27"/>
      <c r="K166" s="27"/>
      <c r="L166" s="27"/>
      <c r="M166" s="51"/>
    </row>
    <row r="167" spans="1:13" x14ac:dyDescent="0.2">
      <c r="A167"/>
      <c r="B167"/>
      <c r="C167"/>
      <c r="D167"/>
      <c r="E167" s="7"/>
      <c r="F167"/>
      <c r="G167"/>
      <c r="H167" s="10"/>
      <c r="I167" s="10"/>
      <c r="J167" s="27"/>
      <c r="K167" s="27"/>
      <c r="L167" s="27"/>
      <c r="M167" s="51"/>
    </row>
    <row r="168" spans="1:13" x14ac:dyDescent="0.2">
      <c r="A168"/>
      <c r="B168"/>
      <c r="C168"/>
      <c r="D168"/>
      <c r="E168" s="7"/>
      <c r="F168"/>
      <c r="G168"/>
      <c r="H168" s="10"/>
      <c r="I168" s="10"/>
      <c r="J168" s="27"/>
      <c r="K168" s="27"/>
      <c r="L168" s="27"/>
      <c r="M168" s="51"/>
    </row>
    <row r="169" spans="1:13" x14ac:dyDescent="0.2">
      <c r="A169"/>
      <c r="B169"/>
      <c r="C169"/>
      <c r="D169"/>
      <c r="E169" s="7"/>
      <c r="F169"/>
      <c r="G169"/>
      <c r="H169" s="10"/>
      <c r="I169" s="10"/>
      <c r="J169" s="27"/>
      <c r="K169" s="27"/>
      <c r="L169" s="27"/>
      <c r="M169" s="51"/>
    </row>
    <row r="170" spans="1:13" x14ac:dyDescent="0.2">
      <c r="A170"/>
      <c r="B170"/>
      <c r="C170"/>
      <c r="D170"/>
      <c r="E170" s="7"/>
      <c r="F170"/>
      <c r="G170"/>
      <c r="H170" s="10"/>
      <c r="I170" s="10"/>
      <c r="J170" s="27"/>
      <c r="K170" s="27"/>
      <c r="L170" s="27"/>
      <c r="M170" s="51"/>
    </row>
    <row r="171" spans="1:13" x14ac:dyDescent="0.2">
      <c r="A171"/>
      <c r="B171"/>
      <c r="C171"/>
      <c r="D171"/>
      <c r="E171" s="7"/>
      <c r="F171"/>
      <c r="G171"/>
      <c r="H171" s="10"/>
      <c r="I171" s="10"/>
      <c r="J171" s="27"/>
      <c r="K171" s="27"/>
      <c r="L171" s="27"/>
      <c r="M171" s="51"/>
    </row>
    <row r="172" spans="1:13" x14ac:dyDescent="0.2">
      <c r="A172"/>
      <c r="B172"/>
      <c r="C172"/>
      <c r="D172"/>
      <c r="E172" s="7"/>
      <c r="F172"/>
      <c r="G172"/>
      <c r="H172" s="10"/>
      <c r="I172" s="10"/>
      <c r="J172" s="27"/>
      <c r="K172" s="27"/>
      <c r="L172" s="27"/>
      <c r="M172" s="51"/>
    </row>
    <row r="173" spans="1:13" x14ac:dyDescent="0.2">
      <c r="A173"/>
      <c r="B173"/>
      <c r="C173"/>
      <c r="D173"/>
      <c r="E173" s="7"/>
      <c r="F173"/>
      <c r="G173"/>
      <c r="H173" s="10"/>
      <c r="I173" s="10"/>
      <c r="J173" s="27"/>
      <c r="K173" s="27"/>
      <c r="L173" s="27"/>
      <c r="M173" s="51"/>
    </row>
    <row r="174" spans="1:13" x14ac:dyDescent="0.2">
      <c r="A174"/>
      <c r="B174"/>
      <c r="C174"/>
      <c r="D174"/>
      <c r="E174" s="7"/>
      <c r="F174"/>
      <c r="G174"/>
      <c r="H174" s="10"/>
      <c r="I174" s="10"/>
      <c r="J174" s="27"/>
      <c r="K174" s="27"/>
      <c r="L174" s="27"/>
      <c r="M174" s="51"/>
    </row>
    <row r="175" spans="1:13" x14ac:dyDescent="0.2">
      <c r="A175"/>
      <c r="B175"/>
      <c r="C175"/>
      <c r="D175"/>
      <c r="E175" s="7"/>
      <c r="F175"/>
      <c r="G175"/>
      <c r="H175" s="10"/>
      <c r="I175" s="10"/>
      <c r="J175" s="27"/>
      <c r="K175" s="27"/>
      <c r="L175" s="27"/>
      <c r="M175" s="51"/>
    </row>
    <row r="176" spans="1:13" x14ac:dyDescent="0.2">
      <c r="A176"/>
      <c r="B176"/>
      <c r="C176"/>
      <c r="D176"/>
      <c r="E176" s="7"/>
      <c r="F176"/>
      <c r="G176"/>
      <c r="H176" s="10"/>
      <c r="I176" s="10"/>
      <c r="J176" s="27"/>
      <c r="K176" s="27"/>
      <c r="L176" s="27"/>
      <c r="M176" s="51"/>
    </row>
    <row r="177" spans="1:13" x14ac:dyDescent="0.2">
      <c r="A177"/>
      <c r="B177"/>
      <c r="C177"/>
      <c r="D177"/>
      <c r="E177" s="7"/>
      <c r="F177"/>
      <c r="G177"/>
      <c r="H177" s="10"/>
      <c r="I177" s="10"/>
      <c r="J177" s="27"/>
      <c r="K177" s="27"/>
      <c r="L177" s="27"/>
      <c r="M177" s="51"/>
    </row>
    <row r="178" spans="1:13" x14ac:dyDescent="0.2">
      <c r="A178"/>
      <c r="B178"/>
      <c r="C178"/>
      <c r="D178"/>
      <c r="E178" s="7"/>
      <c r="F178"/>
      <c r="G178"/>
      <c r="H178" s="10"/>
      <c r="I178" s="10"/>
      <c r="J178" s="27"/>
      <c r="K178" s="27"/>
      <c r="L178" s="27"/>
      <c r="M178" s="51"/>
    </row>
    <row r="179" spans="1:13" x14ac:dyDescent="0.2">
      <c r="A179"/>
      <c r="B179"/>
      <c r="C179"/>
      <c r="D179"/>
      <c r="E179" s="7"/>
      <c r="F179"/>
      <c r="G179"/>
      <c r="H179" s="10"/>
      <c r="I179" s="10"/>
      <c r="J179" s="27"/>
      <c r="K179" s="27"/>
      <c r="L179" s="27"/>
      <c r="M179" s="51"/>
    </row>
    <row r="180" spans="1:13" x14ac:dyDescent="0.2">
      <c r="A180"/>
      <c r="B180"/>
      <c r="C180"/>
      <c r="D180"/>
      <c r="E180" s="7"/>
      <c r="F180"/>
      <c r="G180"/>
      <c r="H180" s="10"/>
      <c r="I180" s="10"/>
      <c r="J180" s="27"/>
      <c r="K180" s="27"/>
      <c r="L180" s="27"/>
      <c r="M180" s="51"/>
    </row>
    <row r="181" spans="1:13" x14ac:dyDescent="0.2">
      <c r="A181"/>
      <c r="B181"/>
      <c r="C181"/>
      <c r="D181"/>
      <c r="E181" s="7"/>
      <c r="F181"/>
      <c r="G181"/>
      <c r="H181" s="10"/>
      <c r="I181" s="10"/>
      <c r="J181" s="27"/>
      <c r="K181" s="27"/>
      <c r="L181" s="27"/>
      <c r="M181" s="51"/>
    </row>
    <row r="182" spans="1:13" x14ac:dyDescent="0.2">
      <c r="A182"/>
      <c r="B182"/>
      <c r="C182"/>
      <c r="D182"/>
      <c r="E182" s="7"/>
      <c r="F182"/>
      <c r="G182"/>
      <c r="H182" s="10"/>
      <c r="I182" s="10"/>
      <c r="J182" s="27"/>
      <c r="K182" s="27"/>
      <c r="L182" s="27"/>
      <c r="M182" s="51"/>
    </row>
    <row r="183" spans="1:13" x14ac:dyDescent="0.2">
      <c r="A183"/>
      <c r="B183"/>
      <c r="C183"/>
      <c r="D183"/>
      <c r="E183" s="7"/>
      <c r="F183"/>
      <c r="G183"/>
      <c r="H183" s="10"/>
      <c r="I183" s="10"/>
      <c r="J183" s="27"/>
      <c r="K183" s="27"/>
      <c r="L183" s="27"/>
      <c r="M183" s="51"/>
    </row>
    <row r="184" spans="1:13" x14ac:dyDescent="0.2">
      <c r="A184"/>
      <c r="B184"/>
      <c r="C184"/>
      <c r="D184"/>
      <c r="E184" s="7"/>
      <c r="F184"/>
      <c r="G184"/>
      <c r="H184" s="10"/>
      <c r="I184" s="10"/>
      <c r="J184" s="27"/>
      <c r="K184" s="27"/>
      <c r="L184" s="27"/>
      <c r="M184" s="51"/>
    </row>
    <row r="185" spans="1:13" x14ac:dyDescent="0.2">
      <c r="A185"/>
      <c r="B185"/>
      <c r="C185"/>
      <c r="D185"/>
      <c r="E185" s="7"/>
      <c r="F185"/>
      <c r="G185"/>
      <c r="H185" s="10"/>
      <c r="I185" s="10"/>
      <c r="J185" s="27"/>
      <c r="K185" s="27"/>
      <c r="L185" s="27"/>
      <c r="M185" s="51"/>
    </row>
    <row r="186" spans="1:13" x14ac:dyDescent="0.2">
      <c r="A186"/>
      <c r="B186"/>
      <c r="C186"/>
      <c r="D186"/>
      <c r="E186" s="7"/>
      <c r="F186"/>
      <c r="G186"/>
      <c r="H186" s="10"/>
      <c r="I186" s="10"/>
      <c r="J186" s="27"/>
      <c r="K186" s="27"/>
      <c r="L186" s="27"/>
      <c r="M186" s="51"/>
    </row>
    <row r="187" spans="1:13" x14ac:dyDescent="0.2">
      <c r="A187"/>
      <c r="B187"/>
      <c r="C187"/>
      <c r="D187"/>
      <c r="E187" s="7"/>
      <c r="F187"/>
      <c r="G187"/>
      <c r="H187" s="10"/>
      <c r="I187" s="10"/>
      <c r="J187" s="27"/>
      <c r="K187" s="27"/>
      <c r="L187" s="27"/>
      <c r="M187" s="51"/>
    </row>
    <row r="188" spans="1:13" x14ac:dyDescent="0.2">
      <c r="A188"/>
      <c r="B188"/>
      <c r="C188"/>
      <c r="D188"/>
      <c r="E188" s="7"/>
      <c r="F188"/>
      <c r="G188"/>
      <c r="H188" s="10"/>
      <c r="I188" s="10"/>
      <c r="J188" s="27"/>
      <c r="K188" s="27"/>
      <c r="L188" s="27"/>
      <c r="M188" s="51"/>
    </row>
    <row r="189" spans="1:13" x14ac:dyDescent="0.2">
      <c r="A189"/>
      <c r="B189"/>
      <c r="C189"/>
      <c r="D189"/>
      <c r="E189" s="7"/>
      <c r="F189"/>
      <c r="G189"/>
      <c r="H189" s="10"/>
      <c r="I189" s="10"/>
      <c r="J189" s="27"/>
      <c r="K189" s="27"/>
      <c r="L189" s="27"/>
      <c r="M189" s="51"/>
    </row>
    <row r="190" spans="1:13" x14ac:dyDescent="0.2">
      <c r="A190"/>
      <c r="B190"/>
      <c r="C190"/>
      <c r="D190"/>
      <c r="E190" s="7"/>
      <c r="F190"/>
      <c r="G190"/>
      <c r="H190" s="10"/>
      <c r="I190" s="10"/>
      <c r="J190" s="27"/>
      <c r="K190" s="27"/>
      <c r="L190" s="27"/>
      <c r="M190" s="51"/>
    </row>
    <row r="191" spans="1:13" x14ac:dyDescent="0.2">
      <c r="A191"/>
      <c r="B191"/>
      <c r="C191"/>
      <c r="D191"/>
      <c r="E191" s="7"/>
      <c r="F191"/>
      <c r="G191"/>
      <c r="H191" s="10"/>
      <c r="I191" s="10"/>
      <c r="J191" s="27"/>
      <c r="K191" s="27"/>
      <c r="L191" s="27"/>
      <c r="M191" s="51"/>
    </row>
    <row r="192" spans="1:13" x14ac:dyDescent="0.2">
      <c r="A192"/>
      <c r="B192"/>
      <c r="C192"/>
      <c r="D192"/>
      <c r="E192" s="7"/>
      <c r="F192"/>
      <c r="G192"/>
      <c r="H192" s="10"/>
      <c r="I192" s="10"/>
      <c r="J192" s="27"/>
      <c r="K192" s="27"/>
      <c r="L192" s="27"/>
      <c r="M192" s="51"/>
    </row>
    <row r="193" spans="1:13" x14ac:dyDescent="0.2">
      <c r="A193"/>
      <c r="B193"/>
      <c r="C193"/>
      <c r="D193"/>
      <c r="E193" s="7"/>
      <c r="F193"/>
      <c r="G193"/>
      <c r="H193" s="10"/>
      <c r="I193" s="10"/>
      <c r="J193" s="27"/>
      <c r="K193" s="27"/>
      <c r="L193" s="27"/>
      <c r="M193" s="51"/>
    </row>
    <row r="194" spans="1:13" x14ac:dyDescent="0.2">
      <c r="A194"/>
      <c r="B194"/>
      <c r="C194"/>
      <c r="D194"/>
      <c r="E194" s="7"/>
      <c r="F194"/>
      <c r="G194"/>
      <c r="H194" s="10"/>
      <c r="I194" s="10"/>
      <c r="J194" s="27"/>
      <c r="K194" s="27"/>
      <c r="L194" s="27"/>
      <c r="M194" s="51"/>
    </row>
    <row r="195" spans="1:13" x14ac:dyDescent="0.2">
      <c r="A195"/>
      <c r="B195"/>
      <c r="C195"/>
      <c r="D195"/>
      <c r="E195" s="7"/>
      <c r="F195"/>
      <c r="G195"/>
      <c r="H195" s="10"/>
      <c r="I195" s="10"/>
      <c r="J195" s="27"/>
      <c r="K195" s="27"/>
      <c r="L195" s="27"/>
      <c r="M195" s="51"/>
    </row>
    <row r="196" spans="1:13" x14ac:dyDescent="0.2">
      <c r="A196"/>
      <c r="B196"/>
      <c r="C196"/>
      <c r="D196"/>
      <c r="E196" s="7"/>
      <c r="F196"/>
      <c r="G196"/>
      <c r="H196" s="10"/>
      <c r="I196" s="10"/>
      <c r="J196" s="27"/>
      <c r="K196" s="27"/>
      <c r="L196" s="27"/>
      <c r="M196" s="51"/>
    </row>
    <row r="197" spans="1:13" x14ac:dyDescent="0.2">
      <c r="A197"/>
      <c r="B197"/>
      <c r="C197"/>
      <c r="D197"/>
      <c r="E197" s="7"/>
      <c r="F197"/>
      <c r="G197"/>
      <c r="H197" s="10"/>
      <c r="I197" s="10"/>
      <c r="J197" s="27"/>
      <c r="K197" s="27"/>
      <c r="L197" s="27"/>
      <c r="M197" s="51"/>
    </row>
    <row r="198" spans="1:13" x14ac:dyDescent="0.2">
      <c r="A198"/>
      <c r="B198"/>
      <c r="C198"/>
      <c r="D198"/>
      <c r="E198" s="7"/>
      <c r="F198"/>
      <c r="G198"/>
      <c r="H198" s="10"/>
      <c r="I198" s="10"/>
      <c r="J198" s="27"/>
      <c r="K198" s="27"/>
      <c r="L198" s="27"/>
      <c r="M198" s="51"/>
    </row>
    <row r="199" spans="1:13" x14ac:dyDescent="0.2">
      <c r="A199"/>
      <c r="B199"/>
      <c r="C199"/>
      <c r="D199"/>
      <c r="E199" s="7"/>
      <c r="F199"/>
      <c r="G199"/>
      <c r="H199" s="10"/>
      <c r="I199" s="10"/>
      <c r="J199" s="27"/>
      <c r="K199" s="27"/>
      <c r="L199" s="27"/>
      <c r="M199" s="51"/>
    </row>
    <row r="200" spans="1:13" x14ac:dyDescent="0.2">
      <c r="A200"/>
      <c r="B200"/>
      <c r="C200"/>
      <c r="D200"/>
      <c r="E200" s="7"/>
      <c r="F200"/>
      <c r="G200"/>
      <c r="H200" s="10"/>
      <c r="I200" s="10"/>
      <c r="J200" s="27"/>
      <c r="K200" s="27"/>
      <c r="L200" s="27"/>
      <c r="M200" s="51"/>
    </row>
    <row r="201" spans="1:13" x14ac:dyDescent="0.2">
      <c r="A201"/>
      <c r="B201"/>
      <c r="C201"/>
      <c r="D201"/>
      <c r="E201" s="7"/>
      <c r="F201"/>
      <c r="G201"/>
      <c r="H201" s="10"/>
      <c r="I201" s="10"/>
      <c r="J201" s="27"/>
      <c r="K201" s="27"/>
      <c r="L201" s="27"/>
      <c r="M201" s="51"/>
    </row>
    <row r="202" spans="1:13" x14ac:dyDescent="0.2">
      <c r="A202"/>
      <c r="B202"/>
      <c r="C202"/>
      <c r="D202"/>
      <c r="E202" s="7"/>
      <c r="F202"/>
      <c r="G202"/>
      <c r="H202" s="10"/>
      <c r="I202" s="10"/>
      <c r="J202" s="27"/>
      <c r="K202" s="27"/>
      <c r="L202" s="27"/>
      <c r="M202" s="51"/>
    </row>
    <row r="203" spans="1:13" x14ac:dyDescent="0.2">
      <c r="A203"/>
      <c r="B203"/>
      <c r="C203"/>
      <c r="D203"/>
      <c r="E203" s="7"/>
      <c r="F203"/>
      <c r="G203"/>
      <c r="H203" s="10"/>
      <c r="I203" s="10"/>
      <c r="J203" s="27"/>
      <c r="K203" s="27"/>
      <c r="L203" s="27"/>
      <c r="M203" s="51"/>
    </row>
    <row r="204" spans="1:13" x14ac:dyDescent="0.2">
      <c r="A204"/>
      <c r="B204"/>
      <c r="C204"/>
      <c r="D204"/>
      <c r="E204" s="7"/>
      <c r="F204"/>
      <c r="G204"/>
      <c r="H204" s="10"/>
      <c r="I204" s="10"/>
      <c r="J204" s="27"/>
      <c r="K204" s="27"/>
      <c r="L204" s="27"/>
      <c r="M204" s="51"/>
    </row>
    <row r="205" spans="1:13" x14ac:dyDescent="0.2">
      <c r="A205"/>
      <c r="B205"/>
      <c r="C205"/>
      <c r="D205"/>
      <c r="E205" s="7"/>
      <c r="F205"/>
      <c r="G205"/>
      <c r="H205" s="10"/>
      <c r="I205" s="10"/>
      <c r="J205" s="27"/>
      <c r="K205" s="27"/>
      <c r="L205" s="27"/>
      <c r="M205" s="51"/>
    </row>
    <row r="206" spans="1:13" x14ac:dyDescent="0.2">
      <c r="A206"/>
      <c r="B206"/>
      <c r="C206"/>
      <c r="D206"/>
      <c r="E206" s="7"/>
      <c r="F206"/>
      <c r="G206"/>
      <c r="H206" s="10"/>
      <c r="I206" s="10"/>
      <c r="J206" s="27"/>
      <c r="K206" s="27"/>
      <c r="L206" s="27"/>
      <c r="M206" s="51"/>
    </row>
    <row r="207" spans="1:13" x14ac:dyDescent="0.2">
      <c r="A207"/>
      <c r="B207"/>
      <c r="C207"/>
      <c r="D207"/>
      <c r="E207" s="7"/>
      <c r="F207"/>
      <c r="G207"/>
      <c r="H207" s="10"/>
      <c r="I207" s="10"/>
      <c r="J207" s="27"/>
      <c r="K207" s="27"/>
      <c r="L207" s="27"/>
      <c r="M207" s="51"/>
    </row>
    <row r="208" spans="1:13" x14ac:dyDescent="0.2">
      <c r="A208"/>
      <c r="B208"/>
      <c r="C208"/>
      <c r="D208"/>
      <c r="E208" s="7"/>
      <c r="F208"/>
      <c r="G208"/>
      <c r="H208" s="10"/>
      <c r="I208" s="10"/>
      <c r="J208" s="27"/>
      <c r="K208" s="27"/>
      <c r="L208" s="27"/>
      <c r="M208" s="51"/>
    </row>
    <row r="209" spans="1:13" x14ac:dyDescent="0.2">
      <c r="A209"/>
      <c r="B209"/>
      <c r="C209"/>
      <c r="D209"/>
      <c r="E209" s="7"/>
      <c r="F209"/>
      <c r="G209"/>
      <c r="H209" s="10"/>
      <c r="I209" s="10"/>
      <c r="J209" s="27"/>
      <c r="K209" s="27"/>
      <c r="L209" s="27"/>
      <c r="M209" s="51"/>
    </row>
    <row r="210" spans="1:13" x14ac:dyDescent="0.2">
      <c r="A210"/>
      <c r="B210"/>
      <c r="C210"/>
      <c r="D210"/>
      <c r="E210" s="7"/>
      <c r="F210"/>
      <c r="G210"/>
      <c r="H210" s="10"/>
      <c r="I210" s="10"/>
      <c r="J210" s="27"/>
      <c r="K210" s="27"/>
      <c r="L210" s="27"/>
      <c r="M210" s="51"/>
    </row>
    <row r="211" spans="1:13" x14ac:dyDescent="0.2">
      <c r="A211"/>
      <c r="B211"/>
      <c r="C211"/>
      <c r="D211"/>
      <c r="E211" s="7"/>
      <c r="F211"/>
      <c r="G211"/>
      <c r="H211" s="10"/>
      <c r="I211" s="10"/>
      <c r="J211" s="27"/>
      <c r="K211" s="27"/>
      <c r="L211" s="27"/>
      <c r="M211" s="51"/>
    </row>
    <row r="212" spans="1:13" x14ac:dyDescent="0.2">
      <c r="A212"/>
      <c r="B212"/>
      <c r="C212"/>
      <c r="D212"/>
      <c r="E212" s="7"/>
      <c r="F212"/>
      <c r="G212"/>
      <c r="H212" s="10"/>
      <c r="I212" s="10"/>
      <c r="J212" s="27"/>
      <c r="K212" s="27"/>
      <c r="L212" s="27"/>
      <c r="M212" s="51"/>
    </row>
    <row r="213" spans="1:13" x14ac:dyDescent="0.2">
      <c r="A213"/>
      <c r="B213"/>
      <c r="C213"/>
      <c r="D213"/>
      <c r="E213" s="7"/>
      <c r="F213"/>
      <c r="G213"/>
      <c r="H213" s="10"/>
      <c r="I213" s="10"/>
      <c r="J213" s="27"/>
      <c r="K213" s="27"/>
      <c r="L213" s="27"/>
      <c r="M213" s="51"/>
    </row>
    <row r="214" spans="1:13" x14ac:dyDescent="0.2">
      <c r="A214"/>
      <c r="B214"/>
      <c r="C214"/>
      <c r="D214"/>
      <c r="E214" s="7"/>
      <c r="F214"/>
      <c r="G214"/>
      <c r="H214" s="10"/>
      <c r="I214" s="10"/>
      <c r="J214" s="27"/>
      <c r="K214" s="27"/>
      <c r="L214" s="27"/>
      <c r="M214" s="51"/>
    </row>
    <row r="215" spans="1:13" x14ac:dyDescent="0.2">
      <c r="A215"/>
      <c r="B215"/>
      <c r="C215"/>
      <c r="D215"/>
      <c r="E215" s="7"/>
      <c r="F215"/>
      <c r="G215"/>
      <c r="H215" s="10"/>
      <c r="I215" s="10"/>
      <c r="J215" s="27"/>
      <c r="K215" s="27"/>
      <c r="L215" s="27"/>
      <c r="M215" s="51"/>
    </row>
    <row r="216" spans="1:13" x14ac:dyDescent="0.2">
      <c r="A216"/>
      <c r="B216"/>
      <c r="C216"/>
      <c r="D216"/>
      <c r="E216" s="7"/>
      <c r="F216"/>
      <c r="G216"/>
      <c r="H216" s="10"/>
      <c r="I216" s="10"/>
      <c r="J216" s="27"/>
      <c r="K216" s="27"/>
      <c r="L216" s="27"/>
      <c r="M216" s="51"/>
    </row>
    <row r="217" spans="1:13" x14ac:dyDescent="0.2">
      <c r="A217"/>
      <c r="B217"/>
      <c r="C217"/>
      <c r="D217"/>
      <c r="E217" s="7"/>
      <c r="F217"/>
      <c r="G217"/>
      <c r="H217" s="10"/>
      <c r="I217" s="10"/>
      <c r="J217" s="27"/>
      <c r="K217" s="27"/>
      <c r="L217" s="27"/>
      <c r="M217" s="51"/>
    </row>
    <row r="218" spans="1:13" x14ac:dyDescent="0.2">
      <c r="A218"/>
      <c r="B218"/>
      <c r="C218"/>
      <c r="D218"/>
      <c r="E218" s="7"/>
      <c r="F218"/>
      <c r="G218"/>
      <c r="H218" s="10"/>
      <c r="I218" s="10"/>
      <c r="J218" s="27"/>
      <c r="K218" s="27"/>
      <c r="L218" s="27"/>
      <c r="M218" s="51"/>
    </row>
    <row r="219" spans="1:13" x14ac:dyDescent="0.2">
      <c r="A219"/>
      <c r="B219"/>
      <c r="C219"/>
      <c r="D219"/>
      <c r="E219" s="7"/>
      <c r="F219"/>
      <c r="G219"/>
      <c r="H219" s="10"/>
      <c r="I219" s="10"/>
      <c r="J219" s="27"/>
      <c r="K219" s="27"/>
      <c r="L219" s="27"/>
      <c r="M219" s="51"/>
    </row>
    <row r="220" spans="1:13" x14ac:dyDescent="0.2">
      <c r="A220"/>
      <c r="B220"/>
      <c r="C220"/>
      <c r="D220"/>
      <c r="E220" s="7"/>
      <c r="F220"/>
      <c r="G220"/>
      <c r="H220" s="10"/>
      <c r="I220" s="10"/>
      <c r="J220" s="27"/>
      <c r="K220" s="27"/>
      <c r="L220" s="27"/>
      <c r="M220" s="51"/>
    </row>
    <row r="221" spans="1:13" x14ac:dyDescent="0.2">
      <c r="A221"/>
      <c r="B221"/>
      <c r="C221"/>
      <c r="D221"/>
      <c r="E221" s="7"/>
      <c r="F221"/>
      <c r="G221"/>
      <c r="H221" s="10"/>
      <c r="I221" s="10"/>
      <c r="J221" s="27"/>
      <c r="K221" s="27"/>
      <c r="L221" s="27"/>
      <c r="M221" s="51"/>
    </row>
    <row r="222" spans="1:13" x14ac:dyDescent="0.2">
      <c r="A222"/>
      <c r="B222"/>
      <c r="C222"/>
      <c r="D222"/>
      <c r="E222" s="7"/>
      <c r="F222"/>
      <c r="G222"/>
      <c r="H222" s="10"/>
      <c r="I222" s="10"/>
      <c r="J222" s="27"/>
      <c r="K222" s="27"/>
      <c r="L222" s="27"/>
      <c r="M222" s="51"/>
    </row>
    <row r="223" spans="1:13" x14ac:dyDescent="0.2">
      <c r="A223"/>
      <c r="B223"/>
      <c r="C223"/>
      <c r="D223"/>
      <c r="E223" s="7"/>
      <c r="F223"/>
      <c r="G223"/>
      <c r="H223" s="10"/>
      <c r="I223" s="10"/>
      <c r="J223" s="27"/>
      <c r="K223" s="27"/>
      <c r="L223" s="27"/>
      <c r="M223" s="51"/>
    </row>
    <row r="224" spans="1:13" x14ac:dyDescent="0.2">
      <c r="A224"/>
      <c r="B224"/>
      <c r="C224"/>
      <c r="D224"/>
      <c r="E224" s="7"/>
      <c r="F224"/>
      <c r="G224"/>
      <c r="H224" s="10"/>
      <c r="I224" s="10"/>
      <c r="J224" s="27"/>
      <c r="K224" s="27"/>
      <c r="L224" s="27"/>
      <c r="M224" s="51"/>
    </row>
    <row r="225" spans="1:13" x14ac:dyDescent="0.2">
      <c r="A225"/>
      <c r="B225"/>
      <c r="C225"/>
      <c r="D225"/>
      <c r="E225" s="7"/>
      <c r="F225"/>
      <c r="G225"/>
      <c r="H225" s="10"/>
      <c r="I225" s="10"/>
      <c r="J225" s="27"/>
      <c r="K225" s="27"/>
      <c r="L225" s="27"/>
      <c r="M225" s="51"/>
    </row>
    <row r="226" spans="1:13" x14ac:dyDescent="0.2">
      <c r="A226"/>
      <c r="B226"/>
      <c r="C226"/>
      <c r="D226"/>
      <c r="E226" s="7"/>
      <c r="F226"/>
      <c r="G226"/>
      <c r="H226" s="10"/>
      <c r="I226" s="10"/>
      <c r="J226" s="27"/>
      <c r="K226" s="27"/>
      <c r="L226" s="27"/>
      <c r="M226" s="51"/>
    </row>
    <row r="227" spans="1:13" x14ac:dyDescent="0.2">
      <c r="A227"/>
      <c r="B227"/>
      <c r="C227"/>
      <c r="D227"/>
      <c r="E227" s="7"/>
      <c r="F227"/>
      <c r="G227"/>
      <c r="H227" s="10"/>
      <c r="I227" s="10"/>
      <c r="J227" s="27"/>
      <c r="K227" s="27"/>
      <c r="L227" s="27"/>
      <c r="M227" s="51"/>
    </row>
    <row r="228" spans="1:13" x14ac:dyDescent="0.2">
      <c r="A228"/>
      <c r="B228"/>
      <c r="C228"/>
      <c r="D228"/>
      <c r="E228" s="7"/>
      <c r="F228"/>
      <c r="G228"/>
      <c r="H228" s="10"/>
      <c r="I228" s="10"/>
      <c r="J228" s="27"/>
      <c r="K228" s="27"/>
      <c r="L228" s="27"/>
      <c r="M228" s="51"/>
    </row>
    <row r="229" spans="1:13" x14ac:dyDescent="0.2">
      <c r="A229"/>
      <c r="B229"/>
      <c r="C229"/>
      <c r="D229"/>
      <c r="E229" s="7"/>
      <c r="F229"/>
      <c r="G229"/>
      <c r="H229" s="10"/>
      <c r="I229" s="10"/>
      <c r="J229" s="27"/>
      <c r="K229" s="27"/>
      <c r="L229" s="27"/>
      <c r="M229" s="51"/>
    </row>
    <row r="230" spans="1:13" x14ac:dyDescent="0.2">
      <c r="A230"/>
      <c r="B230"/>
      <c r="C230"/>
      <c r="D230"/>
      <c r="E230" s="7"/>
      <c r="F230"/>
      <c r="G230"/>
      <c r="H230" s="10"/>
      <c r="I230" s="10"/>
      <c r="J230" s="27"/>
      <c r="K230" s="27"/>
      <c r="L230" s="27"/>
      <c r="M230" s="51"/>
    </row>
    <row r="231" spans="1:13" x14ac:dyDescent="0.2">
      <c r="A231"/>
      <c r="B231"/>
      <c r="C231"/>
      <c r="D231"/>
      <c r="E231" s="7"/>
      <c r="F231"/>
      <c r="G231"/>
      <c r="H231" s="10"/>
      <c r="I231" s="10"/>
      <c r="J231" s="27"/>
      <c r="K231" s="27"/>
      <c r="L231" s="27"/>
      <c r="M231" s="51"/>
    </row>
    <row r="232" spans="1:13" x14ac:dyDescent="0.2">
      <c r="A232"/>
      <c r="B232"/>
      <c r="C232"/>
      <c r="D232"/>
      <c r="E232" s="7"/>
      <c r="F232"/>
      <c r="G232"/>
      <c r="H232" s="10"/>
      <c r="I232" s="10"/>
      <c r="J232" s="27"/>
      <c r="K232" s="27"/>
      <c r="L232" s="27"/>
      <c r="M232" s="51"/>
    </row>
    <row r="233" spans="1:13" x14ac:dyDescent="0.2">
      <c r="A233"/>
      <c r="B233"/>
      <c r="C233"/>
      <c r="D233"/>
      <c r="E233" s="7"/>
      <c r="F233"/>
      <c r="G233"/>
      <c r="H233" s="10"/>
      <c r="I233" s="10"/>
      <c r="J233" s="27"/>
      <c r="K233" s="27"/>
      <c r="L233" s="27"/>
      <c r="M233" s="51"/>
    </row>
    <row r="234" spans="1:13" x14ac:dyDescent="0.2">
      <c r="A234"/>
      <c r="B234"/>
      <c r="C234"/>
      <c r="D234"/>
      <c r="E234" s="7"/>
      <c r="F234"/>
      <c r="G234"/>
      <c r="H234" s="10"/>
      <c r="I234" s="10"/>
      <c r="J234" s="27"/>
      <c r="K234" s="27"/>
      <c r="L234" s="27"/>
      <c r="M234" s="51"/>
    </row>
    <row r="235" spans="1:13" x14ac:dyDescent="0.2">
      <c r="A235"/>
      <c r="B235"/>
      <c r="C235"/>
      <c r="D235"/>
      <c r="E235" s="7"/>
      <c r="F235"/>
      <c r="G235"/>
      <c r="H235" s="10"/>
      <c r="I235" s="10"/>
      <c r="J235" s="27"/>
      <c r="K235" s="27"/>
      <c r="L235" s="27"/>
      <c r="M235" s="51"/>
    </row>
    <row r="236" spans="1:13" x14ac:dyDescent="0.2">
      <c r="A236"/>
      <c r="B236"/>
      <c r="C236"/>
      <c r="D236"/>
      <c r="E236" s="7"/>
      <c r="F236"/>
      <c r="G236"/>
      <c r="H236" s="10"/>
      <c r="I236" s="10"/>
      <c r="J236" s="27"/>
      <c r="K236" s="27"/>
      <c r="L236" s="27"/>
      <c r="M236" s="51"/>
    </row>
    <row r="237" spans="1:13" x14ac:dyDescent="0.2">
      <c r="A237"/>
      <c r="B237"/>
      <c r="C237"/>
      <c r="D237"/>
      <c r="E237" s="7"/>
      <c r="F237"/>
      <c r="G237"/>
      <c r="H237" s="10"/>
      <c r="I237" s="10"/>
      <c r="J237" s="27"/>
      <c r="K237" s="27"/>
      <c r="L237" s="27"/>
      <c r="M237" s="51"/>
    </row>
    <row r="238" spans="1:13" x14ac:dyDescent="0.2">
      <c r="A238"/>
      <c r="B238"/>
      <c r="C238"/>
      <c r="D238"/>
      <c r="E238" s="7"/>
      <c r="F238"/>
      <c r="G238"/>
      <c r="H238" s="10"/>
      <c r="I238" s="10"/>
      <c r="J238" s="27"/>
      <c r="K238" s="27"/>
      <c r="L238" s="27"/>
      <c r="M238" s="51"/>
    </row>
    <row r="239" spans="1:13" x14ac:dyDescent="0.2">
      <c r="A239"/>
      <c r="B239"/>
      <c r="C239"/>
      <c r="D239"/>
      <c r="E239" s="7"/>
      <c r="F239"/>
      <c r="G239"/>
      <c r="H239" s="10"/>
      <c r="I239" s="10"/>
      <c r="J239" s="27"/>
      <c r="K239" s="27"/>
      <c r="L239" s="27"/>
      <c r="M239" s="51"/>
    </row>
    <row r="240" spans="1:13" x14ac:dyDescent="0.2">
      <c r="A240"/>
      <c r="B240"/>
      <c r="C240"/>
      <c r="D240"/>
      <c r="E240" s="7"/>
      <c r="F240"/>
      <c r="G240"/>
      <c r="H240" s="10"/>
      <c r="I240" s="10"/>
      <c r="J240" s="27"/>
      <c r="K240" s="27"/>
      <c r="L240" s="27"/>
      <c r="M240" s="51"/>
    </row>
    <row r="241" spans="1:13" x14ac:dyDescent="0.2">
      <c r="A241"/>
      <c r="B241"/>
      <c r="C241"/>
      <c r="D241"/>
      <c r="E241" s="7"/>
      <c r="F241"/>
      <c r="G241"/>
      <c r="H241" s="10"/>
      <c r="I241" s="10"/>
      <c r="J241" s="27"/>
      <c r="K241" s="27"/>
      <c r="L241" s="27"/>
      <c r="M241" s="51"/>
    </row>
  </sheetData>
  <autoFilter ref="A1:M241"/>
  <pageMargins left="0.75" right="0.75" top="1" bottom="1" header="0.5" footer="0.5"/>
  <pageSetup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206"/>
  <sheetViews>
    <sheetView zoomScale="120" zoomScaleNormal="120" workbookViewId="0">
      <pane ySplit="1" topLeftCell="A49" activePane="bottomLeft" state="frozen"/>
      <selection activeCell="L2" sqref="L2"/>
      <selection pane="bottomLeft" activeCell="C70" sqref="C70:C73"/>
    </sheetView>
  </sheetViews>
  <sheetFormatPr defaultColWidth="9.140625" defaultRowHeight="12.75" x14ac:dyDescent="0.2"/>
  <cols>
    <col min="1" max="1" width="10.140625" style="3" customWidth="1"/>
    <col min="2" max="2" width="25.7109375" style="3" customWidth="1"/>
    <col min="3" max="3" width="9.85546875" style="3" bestFit="1" customWidth="1"/>
    <col min="4" max="4" width="13.7109375" style="3" customWidth="1"/>
    <col min="5" max="5" width="11.42578125" style="8" customWidth="1"/>
    <col min="6" max="7" width="8" style="3" customWidth="1"/>
    <col min="8" max="8" width="8" style="11" customWidth="1"/>
    <col min="9" max="9" width="10.5703125" style="11" customWidth="1"/>
    <col min="10" max="10" width="15.28515625" style="11" customWidth="1"/>
    <col min="11" max="11" width="9.140625" style="11" customWidth="1"/>
    <col min="12" max="12" width="8" style="11" customWidth="1"/>
    <col min="13" max="13" width="116.28515625" style="82" customWidth="1"/>
    <col min="14" max="14" width="27.85546875" style="14" bestFit="1" customWidth="1"/>
    <col min="15" max="16384" width="9.140625" style="3"/>
  </cols>
  <sheetData>
    <row r="1" spans="1:14" s="1" customFormat="1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1" t="s">
        <v>5</v>
      </c>
      <c r="G1" s="1" t="s">
        <v>6</v>
      </c>
      <c r="H1" s="9" t="s">
        <v>7</v>
      </c>
      <c r="I1" s="30" t="s">
        <v>8</v>
      </c>
      <c r="J1" s="30" t="s">
        <v>9</v>
      </c>
      <c r="K1" s="16" t="s">
        <v>10</v>
      </c>
      <c r="L1" s="16" t="s">
        <v>11</v>
      </c>
      <c r="M1" s="77" t="s">
        <v>12</v>
      </c>
      <c r="N1" s="13"/>
    </row>
    <row r="2" spans="1:14" x14ac:dyDescent="0.2">
      <c r="A2" s="18" t="s">
        <v>101</v>
      </c>
      <c r="B2" t="s">
        <v>82</v>
      </c>
      <c r="C2" s="5">
        <v>43724</v>
      </c>
      <c r="D2" s="2" t="s">
        <v>44</v>
      </c>
      <c r="E2" s="7">
        <v>14799</v>
      </c>
      <c r="F2" s="20">
        <v>156535</v>
      </c>
      <c r="G2" s="20">
        <v>516436</v>
      </c>
      <c r="H2" s="10">
        <f>-0.0817+0.11-0.945</f>
        <v>-0.91669999999999996</v>
      </c>
      <c r="I2" s="33"/>
      <c r="J2" s="14"/>
      <c r="K2" s="24"/>
      <c r="L2" s="47">
        <f>-(912-36)</f>
        <v>-876</v>
      </c>
      <c r="M2" s="78" t="s">
        <v>102</v>
      </c>
      <c r="N2" s="3"/>
    </row>
    <row r="3" spans="1:14" x14ac:dyDescent="0.2">
      <c r="A3" s="18" t="s">
        <v>101</v>
      </c>
      <c r="B3" t="s">
        <v>82</v>
      </c>
      <c r="C3" s="5">
        <v>43724</v>
      </c>
      <c r="D3" s="2" t="s">
        <v>46</v>
      </c>
      <c r="E3" s="7">
        <v>13390038</v>
      </c>
      <c r="F3"/>
      <c r="G3"/>
      <c r="H3" s="10">
        <f>-0.6153-0.09</f>
        <v>-0.70529999999999993</v>
      </c>
      <c r="I3" s="10"/>
      <c r="J3" s="10"/>
      <c r="K3" s="10"/>
      <c r="L3" s="10"/>
      <c r="M3" s="79" t="s">
        <v>103</v>
      </c>
    </row>
    <row r="4" spans="1:14" x14ac:dyDescent="0.2">
      <c r="A4" s="18" t="s">
        <v>101</v>
      </c>
      <c r="B4" t="s">
        <v>82</v>
      </c>
      <c r="C4" s="5">
        <v>43724</v>
      </c>
      <c r="D4" s="2" t="s">
        <v>23</v>
      </c>
      <c r="E4" s="7"/>
      <c r="F4"/>
      <c r="G4"/>
      <c r="H4" s="10">
        <v>-1.1435</v>
      </c>
      <c r="I4" s="10"/>
      <c r="J4" s="10"/>
      <c r="K4" s="10"/>
      <c r="L4" s="10"/>
      <c r="M4" s="79" t="s">
        <v>103</v>
      </c>
    </row>
    <row r="5" spans="1:14" x14ac:dyDescent="0.2">
      <c r="A5" s="18" t="s">
        <v>101</v>
      </c>
      <c r="B5" t="s">
        <v>82</v>
      </c>
      <c r="C5" s="5">
        <v>43724</v>
      </c>
      <c r="D5" s="2" t="s">
        <v>21</v>
      </c>
      <c r="E5" s="7"/>
      <c r="F5">
        <v>156536</v>
      </c>
      <c r="G5">
        <v>516436</v>
      </c>
      <c r="H5" s="10">
        <v>1.6005</v>
      </c>
      <c r="I5" s="10"/>
      <c r="J5" s="10"/>
      <c r="K5" s="10"/>
      <c r="L5" s="10"/>
      <c r="M5" s="79" t="s">
        <v>103</v>
      </c>
    </row>
    <row r="6" spans="1:14" s="14" customFormat="1" x14ac:dyDescent="0.2">
      <c r="A6" s="18" t="s">
        <v>101</v>
      </c>
      <c r="B6" t="s">
        <v>82</v>
      </c>
      <c r="C6" s="5">
        <v>43746</v>
      </c>
      <c r="D6" s="2" t="s">
        <v>44</v>
      </c>
      <c r="E6" s="7">
        <v>14799</v>
      </c>
      <c r="F6"/>
      <c r="G6"/>
      <c r="H6" s="19">
        <f>-0.0817+0.11-0.945</f>
        <v>-0.91669999999999996</v>
      </c>
      <c r="I6" s="10"/>
      <c r="J6" s="10"/>
      <c r="K6" s="10"/>
      <c r="L6" s="47">
        <f>-(912-36)</f>
        <v>-876</v>
      </c>
      <c r="M6" s="80" t="s">
        <v>104</v>
      </c>
    </row>
    <row r="7" spans="1:14" s="14" customFormat="1" x14ac:dyDescent="0.2">
      <c r="A7" s="18" t="s">
        <v>101</v>
      </c>
      <c r="B7" t="s">
        <v>82</v>
      </c>
      <c r="C7" s="5">
        <v>43746</v>
      </c>
      <c r="D7" s="2" t="s">
        <v>46</v>
      </c>
      <c r="E7" s="7">
        <v>13390038</v>
      </c>
      <c r="F7"/>
      <c r="G7"/>
      <c r="H7" s="10">
        <f>-0.6153-0.09</f>
        <v>-0.70529999999999993</v>
      </c>
      <c r="I7" s="10"/>
      <c r="J7" s="10"/>
      <c r="K7" s="10"/>
      <c r="L7" s="10"/>
      <c r="M7" s="81" t="s">
        <v>105</v>
      </c>
    </row>
    <row r="8" spans="1:14" s="14" customFormat="1" x14ac:dyDescent="0.2">
      <c r="A8" s="18" t="s">
        <v>101</v>
      </c>
      <c r="B8" t="s">
        <v>82</v>
      </c>
      <c r="C8" s="5">
        <v>43746</v>
      </c>
      <c r="D8" s="2" t="s">
        <v>23</v>
      </c>
      <c r="E8" s="7"/>
      <c r="F8"/>
      <c r="G8"/>
      <c r="H8" s="10">
        <v>-1.1435</v>
      </c>
      <c r="I8" s="10"/>
      <c r="J8" s="10"/>
      <c r="K8" s="10"/>
      <c r="L8" s="10"/>
      <c r="M8" s="80" t="s">
        <v>104</v>
      </c>
    </row>
    <row r="9" spans="1:14" s="14" customFormat="1" x14ac:dyDescent="0.2">
      <c r="A9" s="18" t="s">
        <v>101</v>
      </c>
      <c r="B9" t="s">
        <v>82</v>
      </c>
      <c r="C9" s="5">
        <v>43746</v>
      </c>
      <c r="D9" s="2" t="s">
        <v>21</v>
      </c>
      <c r="E9" s="7"/>
      <c r="F9">
        <v>156536</v>
      </c>
      <c r="G9">
        <v>516436</v>
      </c>
      <c r="H9" s="10">
        <v>1.6005</v>
      </c>
      <c r="I9" s="10"/>
      <c r="J9" s="10"/>
      <c r="K9" s="10"/>
      <c r="L9" s="10"/>
      <c r="M9" s="80" t="s">
        <v>104</v>
      </c>
    </row>
    <row r="10" spans="1:14" s="14" customFormat="1" x14ac:dyDescent="0.2">
      <c r="A10" s="18" t="s">
        <v>101</v>
      </c>
      <c r="B10" t="s">
        <v>82</v>
      </c>
      <c r="C10" s="5">
        <v>43774</v>
      </c>
      <c r="D10" s="2" t="s">
        <v>44</v>
      </c>
      <c r="E10" s="7">
        <v>14799</v>
      </c>
      <c r="F10"/>
      <c r="G10"/>
      <c r="H10" s="19">
        <f>0.2098-0.945</f>
        <v>-0.73519999999999996</v>
      </c>
      <c r="I10" s="10"/>
      <c r="J10" s="10"/>
      <c r="K10" s="10"/>
      <c r="L10" s="93">
        <f>-(912-36-10)</f>
        <v>-866</v>
      </c>
      <c r="M10" s="74" t="s">
        <v>106</v>
      </c>
    </row>
    <row r="11" spans="1:14" s="14" customFormat="1" x14ac:dyDescent="0.2">
      <c r="A11" s="18" t="s">
        <v>101</v>
      </c>
      <c r="B11" t="s">
        <v>82</v>
      </c>
      <c r="C11" s="5">
        <v>43774</v>
      </c>
      <c r="D11" s="2" t="s">
        <v>46</v>
      </c>
      <c r="E11" s="7">
        <v>13390038</v>
      </c>
      <c r="F11"/>
      <c r="G11"/>
      <c r="H11" s="10">
        <f>-0.4041-0.09</f>
        <v>-0.49409999999999998</v>
      </c>
      <c r="I11" s="10"/>
      <c r="J11" s="10"/>
      <c r="K11" s="10"/>
      <c r="L11" s="10"/>
      <c r="M11" s="46">
        <f>-0.4041-0.09</f>
        <v>-0.49409999999999998</v>
      </c>
    </row>
    <row r="12" spans="1:14" s="14" customFormat="1" x14ac:dyDescent="0.2">
      <c r="A12" s="18" t="s">
        <v>101</v>
      </c>
      <c r="B12" t="s">
        <v>82</v>
      </c>
      <c r="C12" s="5">
        <v>43774</v>
      </c>
      <c r="D12" s="2" t="s">
        <v>23</v>
      </c>
      <c r="E12" s="7"/>
      <c r="F12"/>
      <c r="G12"/>
      <c r="H12" s="76">
        <v>-1.0144</v>
      </c>
      <c r="I12" s="10"/>
      <c r="J12" s="10"/>
      <c r="K12" s="10"/>
      <c r="L12" s="10"/>
      <c r="M12" s="50">
        <v>-1.0144</v>
      </c>
    </row>
    <row r="13" spans="1:14" s="14" customFormat="1" x14ac:dyDescent="0.2">
      <c r="A13" s="18" t="s">
        <v>101</v>
      </c>
      <c r="B13" t="s">
        <v>82</v>
      </c>
      <c r="C13" s="5">
        <v>43774</v>
      </c>
      <c r="D13" s="2" t="s">
        <v>21</v>
      </c>
      <c r="E13" s="7"/>
      <c r="F13">
        <v>156536</v>
      </c>
      <c r="G13">
        <v>516436</v>
      </c>
      <c r="H13" s="76">
        <v>1.6646000000000001</v>
      </c>
      <c r="I13" s="10"/>
      <c r="J13" s="10"/>
      <c r="K13" s="10"/>
      <c r="L13" s="10"/>
      <c r="M13" s="50">
        <v>1.6646000000000001</v>
      </c>
    </row>
    <row r="14" spans="1:14" s="14" customFormat="1" x14ac:dyDescent="0.2">
      <c r="A14" s="18" t="s">
        <v>101</v>
      </c>
      <c r="B14" t="s">
        <v>82</v>
      </c>
      <c r="C14" s="5">
        <v>43801</v>
      </c>
      <c r="D14" s="2" t="s">
        <v>44</v>
      </c>
      <c r="E14" s="7">
        <v>14799</v>
      </c>
      <c r="F14"/>
      <c r="G14"/>
      <c r="H14" s="19">
        <f>0.1676-0.945</f>
        <v>-0.77739999999999998</v>
      </c>
      <c r="I14" s="10"/>
      <c r="J14" s="10"/>
      <c r="K14" s="10"/>
      <c r="L14" s="98">
        <f>-(912-36-10)</f>
        <v>-866</v>
      </c>
      <c r="M14" s="52" t="s">
        <v>107</v>
      </c>
    </row>
    <row r="15" spans="1:14" s="14" customFormat="1" x14ac:dyDescent="0.2">
      <c r="A15" s="18" t="s">
        <v>101</v>
      </c>
      <c r="B15" t="s">
        <v>82</v>
      </c>
      <c r="C15" s="5">
        <v>43801</v>
      </c>
      <c r="D15" s="2" t="s">
        <v>46</v>
      </c>
      <c r="E15" s="7">
        <v>13390038</v>
      </c>
      <c r="F15"/>
      <c r="G15"/>
      <c r="H15" s="10">
        <f>-0.502-0.1</f>
        <v>-0.60199999999999998</v>
      </c>
      <c r="I15" s="10"/>
      <c r="J15" s="10"/>
      <c r="K15" s="10"/>
      <c r="L15" s="19"/>
      <c r="M15" s="92" t="s">
        <v>108</v>
      </c>
    </row>
    <row r="16" spans="1:14" s="14" customFormat="1" x14ac:dyDescent="0.2">
      <c r="A16" s="18" t="s">
        <v>101</v>
      </c>
      <c r="B16" t="s">
        <v>82</v>
      </c>
      <c r="C16" s="5">
        <v>43801</v>
      </c>
      <c r="D16" s="2" t="s">
        <v>23</v>
      </c>
      <c r="E16" s="7"/>
      <c r="F16"/>
      <c r="G16"/>
      <c r="H16" s="76">
        <v>-1.0144</v>
      </c>
      <c r="I16" s="10"/>
      <c r="J16" s="10"/>
      <c r="K16" s="10"/>
      <c r="L16" s="19"/>
      <c r="M16" s="52">
        <v>-1.0253000000000001</v>
      </c>
    </row>
    <row r="17" spans="1:13" s="14" customFormat="1" x14ac:dyDescent="0.2">
      <c r="A17" s="18" t="s">
        <v>101</v>
      </c>
      <c r="B17" t="s">
        <v>82</v>
      </c>
      <c r="C17" s="5">
        <v>43801</v>
      </c>
      <c r="D17" s="2" t="s">
        <v>21</v>
      </c>
      <c r="E17" s="7"/>
      <c r="F17">
        <v>156536</v>
      </c>
      <c r="G17">
        <v>516436</v>
      </c>
      <c r="H17" s="76">
        <v>1.6646000000000001</v>
      </c>
      <c r="I17" s="10"/>
      <c r="J17" s="10"/>
      <c r="K17" s="10"/>
      <c r="L17" s="19"/>
      <c r="M17" s="52">
        <v>1.6474</v>
      </c>
    </row>
    <row r="18" spans="1:13" s="14" customFormat="1" x14ac:dyDescent="0.2">
      <c r="A18" s="18" t="s">
        <v>101</v>
      </c>
      <c r="B18" t="s">
        <v>82</v>
      </c>
      <c r="C18" s="5">
        <v>43837</v>
      </c>
      <c r="D18" s="2" t="s">
        <v>44</v>
      </c>
      <c r="E18" s="7">
        <v>14799</v>
      </c>
      <c r="F18"/>
      <c r="G18"/>
      <c r="H18" s="105">
        <v>-0.85</v>
      </c>
      <c r="I18" s="10"/>
      <c r="J18" s="10"/>
      <c r="K18" s="10"/>
      <c r="L18" s="98">
        <f>-(912-36-10)</f>
        <v>-866</v>
      </c>
      <c r="M18" s="106" t="s">
        <v>109</v>
      </c>
    </row>
    <row r="19" spans="1:13" s="14" customFormat="1" x14ac:dyDescent="0.2">
      <c r="A19" s="18" t="s">
        <v>101</v>
      </c>
      <c r="B19" t="s">
        <v>82</v>
      </c>
      <c r="C19" s="5">
        <v>43837</v>
      </c>
      <c r="D19" s="2" t="s">
        <v>46</v>
      </c>
      <c r="E19" s="7">
        <v>13390038</v>
      </c>
      <c r="F19"/>
      <c r="G19"/>
      <c r="H19" s="101">
        <f>-0.4706-0.1</f>
        <v>-0.5706</v>
      </c>
      <c r="I19" s="10"/>
      <c r="J19" s="10"/>
      <c r="K19" s="10"/>
      <c r="L19" s="10"/>
      <c r="M19" s="49">
        <f>-0.4706-0.1</f>
        <v>-0.5706</v>
      </c>
    </row>
    <row r="20" spans="1:13" s="14" customFormat="1" x14ac:dyDescent="0.2">
      <c r="A20" s="18" t="s">
        <v>101</v>
      </c>
      <c r="B20" t="s">
        <v>82</v>
      </c>
      <c r="C20" s="5">
        <v>43837</v>
      </c>
      <c r="D20" s="2" t="s">
        <v>23</v>
      </c>
      <c r="E20" s="7"/>
      <c r="F20"/>
      <c r="G20"/>
      <c r="H20" s="32">
        <v>-0.9385</v>
      </c>
      <c r="I20" s="10"/>
      <c r="J20" s="10"/>
      <c r="K20" s="10"/>
      <c r="L20" s="10"/>
      <c r="M20" s="50">
        <v>-0.9385</v>
      </c>
    </row>
    <row r="21" spans="1:13" s="14" customFormat="1" x14ac:dyDescent="0.2">
      <c r="A21" s="18" t="s">
        <v>101</v>
      </c>
      <c r="B21" t="s">
        <v>82</v>
      </c>
      <c r="C21" s="5">
        <v>43837</v>
      </c>
      <c r="D21" s="2" t="s">
        <v>21</v>
      </c>
      <c r="E21" s="7"/>
      <c r="F21">
        <v>156536</v>
      </c>
      <c r="G21">
        <v>516436</v>
      </c>
      <c r="H21" s="32">
        <v>1.6183000000000001</v>
      </c>
      <c r="I21" s="10"/>
      <c r="J21" s="10"/>
      <c r="K21" s="10"/>
      <c r="L21" s="10"/>
      <c r="M21" s="50">
        <v>1.6183000000000001</v>
      </c>
    </row>
    <row r="22" spans="1:13" s="14" customFormat="1" x14ac:dyDescent="0.2">
      <c r="A22" s="18" t="s">
        <v>101</v>
      </c>
      <c r="B22" t="s">
        <v>82</v>
      </c>
      <c r="C22" s="5">
        <v>43887</v>
      </c>
      <c r="D22" s="2" t="s">
        <v>44</v>
      </c>
      <c r="E22" s="7">
        <v>14799</v>
      </c>
      <c r="F22"/>
      <c r="G22"/>
      <c r="H22" s="107">
        <f>0.1558-0.945</f>
        <v>-0.7891999999999999</v>
      </c>
      <c r="I22" s="10"/>
      <c r="J22" s="10"/>
      <c r="K22" s="10"/>
      <c r="L22" s="93">
        <f>-(912-36-10-14-8)</f>
        <v>-844</v>
      </c>
      <c r="M22" s="106" t="s">
        <v>110</v>
      </c>
    </row>
    <row r="23" spans="1:13" s="14" customFormat="1" x14ac:dyDescent="0.2">
      <c r="A23" s="18" t="s">
        <v>101</v>
      </c>
      <c r="B23" t="s">
        <v>82</v>
      </c>
      <c r="C23" s="5">
        <v>43887</v>
      </c>
      <c r="D23" s="2" t="s">
        <v>46</v>
      </c>
      <c r="E23" s="7">
        <v>13390038</v>
      </c>
      <c r="F23"/>
      <c r="G23"/>
      <c r="H23" s="101">
        <f>-0.4706-0.1</f>
        <v>-0.5706</v>
      </c>
      <c r="I23" s="10"/>
      <c r="J23" s="10"/>
      <c r="K23" s="10"/>
      <c r="L23" s="10"/>
      <c r="M23" s="49" t="s">
        <v>80</v>
      </c>
    </row>
    <row r="24" spans="1:13" s="14" customFormat="1" x14ac:dyDescent="0.2">
      <c r="A24" s="18" t="s">
        <v>101</v>
      </c>
      <c r="B24" t="s">
        <v>82</v>
      </c>
      <c r="C24" s="5">
        <v>43887</v>
      </c>
      <c r="D24" s="2" t="s">
        <v>23</v>
      </c>
      <c r="E24" s="7"/>
      <c r="F24"/>
      <c r="G24"/>
      <c r="H24" s="32">
        <v>-1.2967</v>
      </c>
      <c r="I24" s="10"/>
      <c r="J24" s="10"/>
      <c r="K24" s="10"/>
      <c r="L24" s="10"/>
      <c r="M24" s="50">
        <v>-1.2967</v>
      </c>
    </row>
    <row r="25" spans="1:13" s="14" customFormat="1" x14ac:dyDescent="0.2">
      <c r="A25" s="18" t="s">
        <v>101</v>
      </c>
      <c r="B25" t="s">
        <v>82</v>
      </c>
      <c r="C25" s="5">
        <v>43887</v>
      </c>
      <c r="D25" s="2" t="s">
        <v>21</v>
      </c>
      <c r="E25" s="7"/>
      <c r="F25">
        <v>156536</v>
      </c>
      <c r="G25">
        <v>516436</v>
      </c>
      <c r="H25" s="32">
        <v>1.6092</v>
      </c>
      <c r="I25" s="10"/>
      <c r="J25" s="10"/>
      <c r="K25" s="10"/>
      <c r="L25" s="10"/>
      <c r="M25" s="50">
        <v>1.6092</v>
      </c>
    </row>
    <row r="26" spans="1:13" s="14" customFormat="1" x14ac:dyDescent="0.2">
      <c r="A26" s="18" t="s">
        <v>101</v>
      </c>
      <c r="B26" t="s">
        <v>82</v>
      </c>
      <c r="C26" s="5">
        <v>43913</v>
      </c>
      <c r="D26" s="2" t="s">
        <v>44</v>
      </c>
      <c r="E26" s="7">
        <v>14799</v>
      </c>
      <c r="F26"/>
      <c r="G26"/>
      <c r="H26" s="107">
        <v>-0.80859999999999999</v>
      </c>
      <c r="I26" s="10"/>
      <c r="J26" s="10"/>
      <c r="K26" s="10"/>
      <c r="L26" s="93">
        <f>-(912-36-10-14-8+18)</f>
        <v>-862</v>
      </c>
      <c r="M26" s="106" t="s">
        <v>111</v>
      </c>
    </row>
    <row r="27" spans="1:13" s="14" customFormat="1" x14ac:dyDescent="0.2">
      <c r="A27" s="18" t="s">
        <v>101</v>
      </c>
      <c r="B27" t="s">
        <v>82</v>
      </c>
      <c r="C27" s="5">
        <v>43913</v>
      </c>
      <c r="D27" s="2" t="s">
        <v>46</v>
      </c>
      <c r="E27" s="7">
        <v>13390038</v>
      </c>
      <c r="F27"/>
      <c r="G27"/>
      <c r="H27" s="101">
        <f>-0.4706-0.1</f>
        <v>-0.5706</v>
      </c>
      <c r="I27" s="10"/>
      <c r="J27" s="10"/>
      <c r="K27" s="10"/>
      <c r="L27" s="10"/>
      <c r="M27" s="49">
        <f>-0.4714-0.1</f>
        <v>-0.57140000000000002</v>
      </c>
    </row>
    <row r="28" spans="1:13" s="14" customFormat="1" x14ac:dyDescent="0.2">
      <c r="A28" s="18" t="s">
        <v>101</v>
      </c>
      <c r="B28" t="s">
        <v>82</v>
      </c>
      <c r="C28" s="5">
        <v>43913</v>
      </c>
      <c r="D28" s="2" t="s">
        <v>23</v>
      </c>
      <c r="E28" s="7"/>
      <c r="F28"/>
      <c r="G28"/>
      <c r="H28" s="32">
        <v>-1.3385</v>
      </c>
      <c r="I28" s="10"/>
      <c r="J28" s="10"/>
      <c r="K28" s="10"/>
      <c r="L28" s="10"/>
      <c r="M28" s="50">
        <v>-1.3385</v>
      </c>
    </row>
    <row r="29" spans="1:13" s="14" customFormat="1" x14ac:dyDescent="0.2">
      <c r="A29" s="18" t="s">
        <v>101</v>
      </c>
      <c r="B29" t="s">
        <v>82</v>
      </c>
      <c r="C29" s="5">
        <v>43913</v>
      </c>
      <c r="D29" s="2" t="s">
        <v>21</v>
      </c>
      <c r="E29" s="7"/>
      <c r="F29">
        <v>156536</v>
      </c>
      <c r="G29">
        <v>516436</v>
      </c>
      <c r="H29" s="32">
        <v>1.593</v>
      </c>
      <c r="I29" s="10"/>
      <c r="J29" s="10"/>
      <c r="K29" s="10"/>
      <c r="L29" s="10"/>
      <c r="M29" s="50">
        <v>1.593</v>
      </c>
    </row>
    <row r="30" spans="1:13" s="14" customFormat="1" x14ac:dyDescent="0.2">
      <c r="A30" s="18" t="s">
        <v>101</v>
      </c>
      <c r="B30" t="s">
        <v>82</v>
      </c>
      <c r="C30" s="5">
        <v>43942</v>
      </c>
      <c r="D30" s="2" t="s">
        <v>44</v>
      </c>
      <c r="E30" s="7">
        <v>14799</v>
      </c>
      <c r="F30"/>
      <c r="G30"/>
      <c r="H30" s="107">
        <v>-0.80859999999999999</v>
      </c>
      <c r="I30" s="10"/>
      <c r="J30" s="10"/>
      <c r="K30" s="10"/>
      <c r="L30" s="93">
        <f>-(912-36-10-14-8+18-9)</f>
        <v>-853</v>
      </c>
      <c r="M30" s="75"/>
    </row>
    <row r="31" spans="1:13" s="14" customFormat="1" x14ac:dyDescent="0.2">
      <c r="A31" s="18" t="s">
        <v>101</v>
      </c>
      <c r="B31" t="s">
        <v>82</v>
      </c>
      <c r="C31" s="5">
        <v>43942</v>
      </c>
      <c r="D31" s="2" t="s">
        <v>46</v>
      </c>
      <c r="E31" s="7">
        <v>13390038</v>
      </c>
      <c r="F31"/>
      <c r="G31"/>
      <c r="H31" s="101">
        <f>-0.5319-0.1</f>
        <v>-0.63190000000000002</v>
      </c>
      <c r="I31" s="10"/>
      <c r="J31" s="10"/>
      <c r="K31" s="10"/>
      <c r="L31" s="10"/>
      <c r="M31" s="49">
        <f>-0.5319-0.1</f>
        <v>-0.63190000000000002</v>
      </c>
    </row>
    <row r="32" spans="1:13" s="14" customFormat="1" x14ac:dyDescent="0.2">
      <c r="A32" s="18" t="s">
        <v>101</v>
      </c>
      <c r="B32" t="s">
        <v>82</v>
      </c>
      <c r="C32" s="5">
        <v>43942</v>
      </c>
      <c r="D32" s="2" t="s">
        <v>23</v>
      </c>
      <c r="E32" s="7"/>
      <c r="F32"/>
      <c r="G32"/>
      <c r="H32" s="32">
        <v>-1.3254999999999999</v>
      </c>
      <c r="I32" s="10"/>
      <c r="J32" s="10"/>
      <c r="K32" s="10"/>
      <c r="L32" s="10"/>
      <c r="M32" s="50">
        <v>-1.3254999999999999</v>
      </c>
    </row>
    <row r="33" spans="1:13" s="14" customFormat="1" x14ac:dyDescent="0.2">
      <c r="A33" s="18" t="s">
        <v>101</v>
      </c>
      <c r="B33" t="s">
        <v>82</v>
      </c>
      <c r="C33" s="5">
        <v>43942</v>
      </c>
      <c r="D33" s="2" t="s">
        <v>21</v>
      </c>
      <c r="E33" s="7"/>
      <c r="F33">
        <v>156536</v>
      </c>
      <c r="G33">
        <v>516436</v>
      </c>
      <c r="H33" s="32">
        <v>1.593</v>
      </c>
      <c r="I33" s="10"/>
      <c r="J33" s="10"/>
      <c r="K33" s="10"/>
      <c r="L33" s="10"/>
      <c r="M33" s="50">
        <v>1.5931</v>
      </c>
    </row>
    <row r="34" spans="1:13" s="14" customFormat="1" x14ac:dyDescent="0.2">
      <c r="A34" s="18" t="s">
        <v>101</v>
      </c>
      <c r="B34" t="s">
        <v>82</v>
      </c>
      <c r="C34" s="5">
        <v>43971</v>
      </c>
      <c r="D34" s="2" t="s">
        <v>44</v>
      </c>
      <c r="E34" s="7">
        <v>14799</v>
      </c>
      <c r="F34"/>
      <c r="G34"/>
      <c r="H34" s="32">
        <v>-0.82399999999999995</v>
      </c>
      <c r="I34" s="10"/>
      <c r="J34" s="10"/>
      <c r="K34" s="10"/>
      <c r="L34" s="98">
        <f>-(912-36-10-14-8+18-9)</f>
        <v>-853</v>
      </c>
      <c r="M34" s="75">
        <v>-0.82399999999999995</v>
      </c>
    </row>
    <row r="35" spans="1:13" s="14" customFormat="1" x14ac:dyDescent="0.2">
      <c r="A35" s="18" t="s">
        <v>101</v>
      </c>
      <c r="B35" t="s">
        <v>82</v>
      </c>
      <c r="C35" s="5">
        <v>43971</v>
      </c>
      <c r="D35" s="2" t="s">
        <v>46</v>
      </c>
      <c r="E35" s="7">
        <v>13390038</v>
      </c>
      <c r="F35"/>
      <c r="G35"/>
      <c r="H35" s="101">
        <f>-0.5319-0.1</f>
        <v>-0.63190000000000002</v>
      </c>
      <c r="I35" s="10"/>
      <c r="J35" s="10"/>
      <c r="K35" s="10"/>
      <c r="L35" s="19"/>
      <c r="M35" s="49">
        <f>-0.5124-0.1</f>
        <v>-0.61239999999999994</v>
      </c>
    </row>
    <row r="36" spans="1:13" s="14" customFormat="1" x14ac:dyDescent="0.2">
      <c r="A36" s="18" t="s">
        <v>101</v>
      </c>
      <c r="B36" t="s">
        <v>82</v>
      </c>
      <c r="C36" s="5">
        <v>43971</v>
      </c>
      <c r="D36" s="2" t="s">
        <v>23</v>
      </c>
      <c r="E36" s="7"/>
      <c r="F36"/>
      <c r="G36"/>
      <c r="H36" s="32">
        <v>-1.3111999999999999</v>
      </c>
      <c r="I36" s="10"/>
      <c r="J36" s="10"/>
      <c r="K36" s="10"/>
      <c r="L36" s="19"/>
      <c r="M36" s="50">
        <v>-1.3111999999999999</v>
      </c>
    </row>
    <row r="37" spans="1:13" s="14" customFormat="1" x14ac:dyDescent="0.2">
      <c r="A37" s="18" t="s">
        <v>101</v>
      </c>
      <c r="B37" t="s">
        <v>82</v>
      </c>
      <c r="C37" s="5">
        <v>43971</v>
      </c>
      <c r="D37" s="2" t="s">
        <v>21</v>
      </c>
      <c r="E37" s="7"/>
      <c r="F37">
        <v>156536</v>
      </c>
      <c r="G37">
        <v>516436</v>
      </c>
      <c r="H37" s="32">
        <v>1.5726</v>
      </c>
      <c r="I37" s="10"/>
      <c r="J37" s="10"/>
      <c r="K37" s="10"/>
      <c r="L37" s="19"/>
      <c r="M37" s="50">
        <v>1.5726</v>
      </c>
    </row>
    <row r="38" spans="1:13" s="14" customFormat="1" x14ac:dyDescent="0.2">
      <c r="A38" s="18" t="s">
        <v>101</v>
      </c>
      <c r="B38" t="s">
        <v>82</v>
      </c>
      <c r="C38" s="40">
        <v>43999</v>
      </c>
      <c r="D38" s="2" t="s">
        <v>44</v>
      </c>
      <c r="E38" s="7">
        <v>14799</v>
      </c>
      <c r="F38"/>
      <c r="G38"/>
      <c r="H38" s="32">
        <v>-0.82399999999999995</v>
      </c>
      <c r="I38" s="10"/>
      <c r="J38" s="10"/>
      <c r="K38" s="10"/>
      <c r="L38" s="98">
        <f>-(912-36-10-14-8+18-9)</f>
        <v>-853</v>
      </c>
      <c r="M38" s="75">
        <f>-0.824+0.0024</f>
        <v>-0.8216</v>
      </c>
    </row>
    <row r="39" spans="1:13" s="14" customFormat="1" x14ac:dyDescent="0.2">
      <c r="A39" s="18" t="s">
        <v>101</v>
      </c>
      <c r="B39" t="s">
        <v>82</v>
      </c>
      <c r="C39" s="40">
        <v>43999</v>
      </c>
      <c r="D39" s="2" t="s">
        <v>46</v>
      </c>
      <c r="E39" s="7">
        <v>13390038</v>
      </c>
      <c r="F39"/>
      <c r="G39"/>
      <c r="H39" s="101">
        <v>-0.61</v>
      </c>
      <c r="I39" s="10"/>
      <c r="J39" s="10"/>
      <c r="K39" s="10"/>
      <c r="L39" s="10"/>
      <c r="M39" s="104" t="s">
        <v>112</v>
      </c>
    </row>
    <row r="40" spans="1:13" s="14" customFormat="1" x14ac:dyDescent="0.2">
      <c r="A40" s="18" t="s">
        <v>101</v>
      </c>
      <c r="B40" t="s">
        <v>82</v>
      </c>
      <c r="C40" s="40">
        <v>43999</v>
      </c>
      <c r="D40" s="2" t="s">
        <v>23</v>
      </c>
      <c r="E40" s="7"/>
      <c r="F40"/>
      <c r="G40"/>
      <c r="H40" s="32">
        <v>-1.3807</v>
      </c>
      <c r="I40" s="10"/>
      <c r="J40" s="10"/>
      <c r="K40" s="10"/>
      <c r="L40" s="10"/>
      <c r="M40" s="50">
        <v>-1.3807</v>
      </c>
    </row>
    <row r="41" spans="1:13" s="14" customFormat="1" x14ac:dyDescent="0.2">
      <c r="A41" s="18" t="s">
        <v>101</v>
      </c>
      <c r="B41" t="s">
        <v>82</v>
      </c>
      <c r="C41" s="40">
        <v>43999</v>
      </c>
      <c r="D41" s="2" t="s">
        <v>21</v>
      </c>
      <c r="E41" s="7"/>
      <c r="F41">
        <v>156536</v>
      </c>
      <c r="G41">
        <v>516436</v>
      </c>
      <c r="H41" s="32">
        <v>1.5726</v>
      </c>
      <c r="I41" s="10"/>
      <c r="J41" s="10"/>
      <c r="K41" s="10"/>
      <c r="L41" s="10"/>
      <c r="M41" s="50">
        <v>1.5690999999999999</v>
      </c>
    </row>
    <row r="42" spans="1:13" s="14" customFormat="1" x14ac:dyDescent="0.2">
      <c r="A42" s="18" t="s">
        <v>101</v>
      </c>
      <c r="B42" t="s">
        <v>82</v>
      </c>
      <c r="C42" s="40">
        <v>44025</v>
      </c>
      <c r="D42" s="2" t="s">
        <v>44</v>
      </c>
      <c r="E42" s="7">
        <v>14799</v>
      </c>
      <c r="F42"/>
      <c r="G42"/>
      <c r="H42" s="32">
        <v>-0.82399999999999995</v>
      </c>
      <c r="I42" s="10"/>
      <c r="J42" s="10"/>
      <c r="K42" s="10"/>
      <c r="L42" s="98">
        <f>-(912-36-10-14-8+18-9)</f>
        <v>-853</v>
      </c>
      <c r="M42" s="75">
        <f>0.1493-0.945</f>
        <v>-0.79569999999999996</v>
      </c>
    </row>
    <row r="43" spans="1:13" s="14" customFormat="1" x14ac:dyDescent="0.2">
      <c r="A43" s="18" t="s">
        <v>101</v>
      </c>
      <c r="B43" t="s">
        <v>82</v>
      </c>
      <c r="C43" s="40">
        <v>44025</v>
      </c>
      <c r="D43" s="2" t="s">
        <v>46</v>
      </c>
      <c r="E43" s="7">
        <v>13390038</v>
      </c>
      <c r="F43"/>
      <c r="G43"/>
      <c r="H43" s="101">
        <v>-0.61</v>
      </c>
      <c r="I43" s="10"/>
      <c r="J43" s="10"/>
      <c r="K43" s="10"/>
      <c r="L43" s="10"/>
      <c r="M43" s="46">
        <f>-0.5269-0.1</f>
        <v>-0.62690000000000001</v>
      </c>
    </row>
    <row r="44" spans="1:13" s="14" customFormat="1" x14ac:dyDescent="0.2">
      <c r="A44" s="18" t="s">
        <v>101</v>
      </c>
      <c r="B44" t="s">
        <v>82</v>
      </c>
      <c r="C44" s="40">
        <v>44025</v>
      </c>
      <c r="D44" s="2" t="s">
        <v>23</v>
      </c>
      <c r="E44" s="7"/>
      <c r="F44"/>
      <c r="G44"/>
      <c r="H44" s="32">
        <v>-1.3110999999999999</v>
      </c>
      <c r="I44" s="10"/>
      <c r="J44" s="10"/>
      <c r="K44" s="10"/>
      <c r="L44" s="10"/>
      <c r="M44" s="50">
        <v>-1.3110999999999999</v>
      </c>
    </row>
    <row r="45" spans="1:13" s="14" customFormat="1" x14ac:dyDescent="0.2">
      <c r="A45" s="18" t="s">
        <v>101</v>
      </c>
      <c r="B45" t="s">
        <v>82</v>
      </c>
      <c r="C45" s="40">
        <v>44025</v>
      </c>
      <c r="D45" s="2" t="s">
        <v>21</v>
      </c>
      <c r="E45" s="7"/>
      <c r="F45">
        <v>156536</v>
      </c>
      <c r="G45">
        <v>516436</v>
      </c>
      <c r="H45" s="32">
        <v>1.6102000000000001</v>
      </c>
      <c r="I45" s="10"/>
      <c r="J45" s="10"/>
      <c r="K45" s="10"/>
      <c r="L45" s="10"/>
      <c r="M45" s="50">
        <v>1.6102000000000001</v>
      </c>
    </row>
    <row r="46" spans="1:13" s="14" customFormat="1" x14ac:dyDescent="0.2">
      <c r="A46" t="s">
        <v>101</v>
      </c>
      <c r="B46" t="s">
        <v>82</v>
      </c>
      <c r="C46" s="5">
        <v>44053</v>
      </c>
      <c r="D46" t="s">
        <v>44</v>
      </c>
      <c r="E46" s="7">
        <v>14799</v>
      </c>
      <c r="F46"/>
      <c r="G46"/>
      <c r="H46" s="32">
        <v>-0.82399999999999995</v>
      </c>
      <c r="I46" s="10"/>
      <c r="J46" s="10"/>
      <c r="K46" s="10"/>
      <c r="L46" s="98">
        <f>-(912-36-10-14-8+18-9)</f>
        <v>-853</v>
      </c>
      <c r="M46" s="51">
        <v>-0.81</v>
      </c>
    </row>
    <row r="47" spans="1:13" s="14" customFormat="1" x14ac:dyDescent="0.2">
      <c r="A47" t="s">
        <v>101</v>
      </c>
      <c r="B47" t="s">
        <v>82</v>
      </c>
      <c r="C47" s="5">
        <v>44053</v>
      </c>
      <c r="D47" t="s">
        <v>46</v>
      </c>
      <c r="E47" s="7">
        <v>13390038</v>
      </c>
      <c r="F47"/>
      <c r="G47"/>
      <c r="H47" s="101">
        <v>-0.61</v>
      </c>
      <c r="I47" s="10"/>
      <c r="J47" s="10"/>
      <c r="K47" s="10"/>
      <c r="L47" s="10"/>
      <c r="M47" s="51">
        <v>-0.67</v>
      </c>
    </row>
    <row r="48" spans="1:13" s="14" customFormat="1" x14ac:dyDescent="0.2">
      <c r="A48" t="s">
        <v>101</v>
      </c>
      <c r="B48" t="s">
        <v>82</v>
      </c>
      <c r="C48" s="5">
        <v>44053</v>
      </c>
      <c r="D48" t="s">
        <v>23</v>
      </c>
      <c r="E48" s="7"/>
      <c r="F48"/>
      <c r="G48"/>
      <c r="H48" s="10">
        <v>-1.36</v>
      </c>
      <c r="I48" s="10"/>
      <c r="J48" s="10"/>
      <c r="K48" s="10"/>
      <c r="L48" s="10"/>
      <c r="M48" s="51">
        <v>-1.36</v>
      </c>
    </row>
    <row r="49" spans="1:13" s="14" customFormat="1" x14ac:dyDescent="0.2">
      <c r="A49" t="s">
        <v>101</v>
      </c>
      <c r="B49" t="s">
        <v>82</v>
      </c>
      <c r="C49" s="5">
        <v>44053</v>
      </c>
      <c r="D49" t="s">
        <v>21</v>
      </c>
      <c r="E49" s="7"/>
      <c r="F49">
        <v>156536</v>
      </c>
      <c r="G49">
        <v>516436</v>
      </c>
      <c r="H49" s="32">
        <v>1.6102000000000001</v>
      </c>
      <c r="I49" s="10"/>
      <c r="J49" s="10"/>
      <c r="K49" s="10"/>
      <c r="L49" s="10"/>
      <c r="M49" s="51">
        <v>1.59</v>
      </c>
    </row>
    <row r="50" spans="1:13" s="14" customFormat="1" ht="12.75" customHeight="1" x14ac:dyDescent="0.2">
      <c r="A50" t="s">
        <v>101</v>
      </c>
      <c r="B50" t="s">
        <v>82</v>
      </c>
      <c r="C50" s="5">
        <v>44081</v>
      </c>
      <c r="D50" t="s">
        <v>44</v>
      </c>
      <c r="E50" s="7">
        <v>14799</v>
      </c>
      <c r="F50"/>
      <c r="G50"/>
      <c r="H50" s="32">
        <v>-0.82399999999999995</v>
      </c>
      <c r="I50" s="10"/>
      <c r="J50" s="10"/>
      <c r="K50" s="10"/>
      <c r="L50" s="98">
        <f>-(912-36-10-14-8+18-9)</f>
        <v>-853</v>
      </c>
      <c r="M50" s="51">
        <f>0.1075-0.945</f>
        <v>-0.83749999999999991</v>
      </c>
    </row>
    <row r="51" spans="1:13" s="14" customFormat="1" ht="12.75" customHeight="1" x14ac:dyDescent="0.2">
      <c r="A51" t="s">
        <v>101</v>
      </c>
      <c r="B51" t="s">
        <v>82</v>
      </c>
      <c r="C51" s="5">
        <v>44081</v>
      </c>
      <c r="D51" t="s">
        <v>46</v>
      </c>
      <c r="E51" s="7">
        <v>13390038</v>
      </c>
      <c r="F51"/>
      <c r="G51"/>
      <c r="H51" s="37">
        <f>-0.5494-0.1</f>
        <v>-0.64939999999999998</v>
      </c>
      <c r="I51" s="10"/>
      <c r="J51" s="10"/>
      <c r="K51" s="10"/>
      <c r="L51" s="10"/>
      <c r="M51" s="51">
        <f>-0.5494-0.1</f>
        <v>-0.64939999999999998</v>
      </c>
    </row>
    <row r="52" spans="1:13" s="14" customFormat="1" x14ac:dyDescent="0.2">
      <c r="A52" t="s">
        <v>101</v>
      </c>
      <c r="B52" t="s">
        <v>82</v>
      </c>
      <c r="C52" s="5">
        <v>44081</v>
      </c>
      <c r="D52" t="s">
        <v>23</v>
      </c>
      <c r="E52" s="7"/>
      <c r="F52"/>
      <c r="G52"/>
      <c r="H52" s="37">
        <v>-1.3715999999999999</v>
      </c>
      <c r="I52" s="10"/>
      <c r="J52" s="10"/>
      <c r="K52" s="10"/>
      <c r="L52" s="10"/>
      <c r="M52" s="51">
        <v>-1.3715999999999999</v>
      </c>
    </row>
    <row r="53" spans="1:13" s="14" customFormat="1" x14ac:dyDescent="0.2">
      <c r="A53" t="s">
        <v>101</v>
      </c>
      <c r="B53" t="s">
        <v>82</v>
      </c>
      <c r="C53" s="5">
        <v>44081</v>
      </c>
      <c r="D53" t="s">
        <v>21</v>
      </c>
      <c r="E53" s="7"/>
      <c r="F53">
        <v>156536</v>
      </c>
      <c r="G53">
        <v>516436</v>
      </c>
      <c r="H53" s="37">
        <v>1.5494000000000001</v>
      </c>
      <c r="I53" s="10"/>
      <c r="J53" s="10"/>
      <c r="K53" s="10"/>
      <c r="L53" s="10"/>
      <c r="M53" s="51">
        <v>1.5494000000000001</v>
      </c>
    </row>
    <row r="54" spans="1:13" s="14" customFormat="1" x14ac:dyDescent="0.2">
      <c r="A54" t="s">
        <v>101</v>
      </c>
      <c r="B54" t="s">
        <v>82</v>
      </c>
      <c r="C54" s="5">
        <v>44139</v>
      </c>
      <c r="D54" t="s">
        <v>44</v>
      </c>
      <c r="E54" s="7">
        <v>14799</v>
      </c>
      <c r="F54"/>
      <c r="G54"/>
      <c r="H54" s="32">
        <v>-0.82399999999999995</v>
      </c>
      <c r="I54" s="10"/>
      <c r="J54" s="10"/>
      <c r="K54" s="10"/>
      <c r="L54" s="98">
        <f>-(912-36-10-14-8+18-9)</f>
        <v>-853</v>
      </c>
      <c r="M54" s="51">
        <f>0.135-0.945</f>
        <v>-0.80999999999999994</v>
      </c>
    </row>
    <row r="55" spans="1:13" s="14" customFormat="1" x14ac:dyDescent="0.2">
      <c r="A55" t="s">
        <v>101</v>
      </c>
      <c r="B55" t="s">
        <v>82</v>
      </c>
      <c r="C55" s="5">
        <v>44139</v>
      </c>
      <c r="D55" t="s">
        <v>46</v>
      </c>
      <c r="E55" s="7">
        <v>13390038</v>
      </c>
      <c r="F55"/>
      <c r="G55"/>
      <c r="H55" s="37">
        <f>-0.5494-0.1</f>
        <v>-0.64939999999999998</v>
      </c>
      <c r="I55" s="10"/>
      <c r="J55" s="10"/>
      <c r="K55" s="10"/>
      <c r="L55" s="10"/>
      <c r="M55" s="51">
        <f>-0.5799-0.1</f>
        <v>-0.67989999999999995</v>
      </c>
    </row>
    <row r="56" spans="1:13" s="14" customFormat="1" x14ac:dyDescent="0.2">
      <c r="A56" t="s">
        <v>101</v>
      </c>
      <c r="B56" t="s">
        <v>82</v>
      </c>
      <c r="C56" s="5">
        <v>44139</v>
      </c>
      <c r="D56" t="s">
        <v>23</v>
      </c>
      <c r="E56" s="7"/>
      <c r="F56"/>
      <c r="G56"/>
      <c r="H56" s="37">
        <v>-1.2932999999999999</v>
      </c>
      <c r="I56" s="10"/>
      <c r="J56" s="10"/>
      <c r="K56" s="10"/>
      <c r="L56" s="10"/>
      <c r="M56" s="51">
        <v>-1.2932999999999999</v>
      </c>
    </row>
    <row r="57" spans="1:13" s="14" customFormat="1" x14ac:dyDescent="0.2">
      <c r="A57" t="s">
        <v>101</v>
      </c>
      <c r="B57" t="s">
        <v>82</v>
      </c>
      <c r="C57" s="5">
        <v>44139</v>
      </c>
      <c r="D57" t="s">
        <v>21</v>
      </c>
      <c r="E57" s="7"/>
      <c r="F57">
        <v>156536</v>
      </c>
      <c r="G57">
        <v>516436</v>
      </c>
      <c r="H57" s="37">
        <v>1.5907</v>
      </c>
      <c r="I57" s="10"/>
      <c r="J57" s="10"/>
      <c r="K57" s="10"/>
      <c r="L57" s="10"/>
      <c r="M57" s="51">
        <v>1.5907</v>
      </c>
    </row>
    <row r="58" spans="1:13" s="14" customFormat="1" x14ac:dyDescent="0.2">
      <c r="A58" t="s">
        <v>101</v>
      </c>
      <c r="B58" t="s">
        <v>82</v>
      </c>
      <c r="C58" s="5">
        <v>44167</v>
      </c>
      <c r="D58" t="s">
        <v>44</v>
      </c>
      <c r="E58" s="7">
        <v>14799</v>
      </c>
      <c r="F58"/>
      <c r="G58"/>
      <c r="H58" s="32">
        <v>-0.82399999999999995</v>
      </c>
      <c r="I58" s="10"/>
      <c r="J58" s="10"/>
      <c r="K58" s="10"/>
      <c r="L58" s="93">
        <v>-857</v>
      </c>
      <c r="M58" s="51">
        <f>0.1358-0.945</f>
        <v>-0.80919999999999992</v>
      </c>
    </row>
    <row r="59" spans="1:13" s="14" customFormat="1" x14ac:dyDescent="0.2">
      <c r="A59" t="s">
        <v>101</v>
      </c>
      <c r="B59" t="s">
        <v>82</v>
      </c>
      <c r="C59" s="5">
        <v>44167</v>
      </c>
      <c r="D59" t="s">
        <v>46</v>
      </c>
      <c r="E59" s="7">
        <v>13390038</v>
      </c>
      <c r="F59"/>
      <c r="G59"/>
      <c r="H59" s="37">
        <f>-0.5494-0.1</f>
        <v>-0.64939999999999998</v>
      </c>
      <c r="I59" s="10"/>
      <c r="J59" s="10"/>
      <c r="K59" s="10"/>
      <c r="L59" s="10"/>
      <c r="M59" s="51">
        <f>-0.5273-0.1</f>
        <v>-0.62729999999999997</v>
      </c>
    </row>
    <row r="60" spans="1:13" s="14" customFormat="1" x14ac:dyDescent="0.2">
      <c r="A60" t="s">
        <v>101</v>
      </c>
      <c r="B60" t="s">
        <v>82</v>
      </c>
      <c r="C60" s="5">
        <v>44167</v>
      </c>
      <c r="D60" t="s">
        <v>23</v>
      </c>
      <c r="E60" s="7"/>
      <c r="F60"/>
      <c r="G60"/>
      <c r="H60" s="37">
        <v>-1.1777</v>
      </c>
      <c r="I60" s="10"/>
      <c r="J60" s="10"/>
      <c r="K60" s="10"/>
      <c r="L60" s="10"/>
      <c r="M60" s="51">
        <v>-1.1777</v>
      </c>
    </row>
    <row r="61" spans="1:13" s="14" customFormat="1" x14ac:dyDescent="0.2">
      <c r="A61" t="s">
        <v>101</v>
      </c>
      <c r="B61" t="s">
        <v>82</v>
      </c>
      <c r="C61" s="5">
        <v>44167</v>
      </c>
      <c r="D61" t="s">
        <v>21</v>
      </c>
      <c r="E61" s="7"/>
      <c r="F61">
        <v>156536</v>
      </c>
      <c r="G61">
        <v>516436</v>
      </c>
      <c r="H61" s="37">
        <v>1.5863</v>
      </c>
      <c r="I61" s="10"/>
      <c r="J61" s="10"/>
      <c r="K61" s="10"/>
      <c r="L61" s="10"/>
      <c r="M61" s="51">
        <v>1.5863</v>
      </c>
    </row>
    <row r="62" spans="1:13" s="14" customFormat="1" x14ac:dyDescent="0.2">
      <c r="A62" t="s">
        <v>101</v>
      </c>
      <c r="B62" t="s">
        <v>82</v>
      </c>
      <c r="C62" s="5">
        <v>44222</v>
      </c>
      <c r="D62" t="s">
        <v>44</v>
      </c>
      <c r="E62" s="7">
        <v>14799</v>
      </c>
      <c r="F62"/>
      <c r="G62"/>
      <c r="H62" s="32">
        <v>-0.82399999999999995</v>
      </c>
      <c r="I62" s="10"/>
      <c r="J62" s="10"/>
      <c r="K62" s="10"/>
      <c r="L62" s="98">
        <v>-857</v>
      </c>
      <c r="M62" s="51">
        <f>0.1202-0.945</f>
        <v>-0.82479999999999998</v>
      </c>
    </row>
    <row r="63" spans="1:13" s="14" customFormat="1" x14ac:dyDescent="0.2">
      <c r="A63" t="s">
        <v>101</v>
      </c>
      <c r="B63" t="s">
        <v>82</v>
      </c>
      <c r="C63" s="5">
        <v>44222</v>
      </c>
      <c r="D63" t="s">
        <v>46</v>
      </c>
      <c r="E63" s="7">
        <v>13390038</v>
      </c>
      <c r="F63"/>
      <c r="G63"/>
      <c r="H63" s="37">
        <f>-0.5494-0.1</f>
        <v>-0.64939999999999998</v>
      </c>
      <c r="I63" s="10"/>
      <c r="J63" s="10"/>
      <c r="K63" s="10"/>
      <c r="L63" s="10"/>
      <c r="M63" s="51">
        <f>-0.5314-0.1</f>
        <v>-0.63139999999999996</v>
      </c>
    </row>
    <row r="64" spans="1:13" s="14" customFormat="1" x14ac:dyDescent="0.2">
      <c r="A64" t="s">
        <v>101</v>
      </c>
      <c r="B64" t="s">
        <v>82</v>
      </c>
      <c r="C64" s="5">
        <v>44222</v>
      </c>
      <c r="D64" t="s">
        <v>23</v>
      </c>
      <c r="E64" s="7"/>
      <c r="F64"/>
      <c r="G64"/>
      <c r="H64" s="37">
        <v>-1.1778999999999999</v>
      </c>
      <c r="I64" s="10"/>
      <c r="J64" s="10"/>
      <c r="K64" s="10"/>
      <c r="L64" s="10"/>
      <c r="M64" s="51">
        <v>-1.1778999999999999</v>
      </c>
    </row>
    <row r="65" spans="1:13" s="125" customFormat="1" ht="13.5" thickBot="1" x14ac:dyDescent="0.25">
      <c r="A65" s="118" t="s">
        <v>101</v>
      </c>
      <c r="B65" s="118" t="s">
        <v>82</v>
      </c>
      <c r="C65" s="129">
        <v>44222</v>
      </c>
      <c r="D65" s="118" t="s">
        <v>21</v>
      </c>
      <c r="E65" s="121"/>
      <c r="F65" s="118">
        <v>156536</v>
      </c>
      <c r="G65" s="118">
        <v>516436</v>
      </c>
      <c r="H65" s="122">
        <v>1.5863</v>
      </c>
      <c r="I65" s="123"/>
      <c r="J65" s="123"/>
      <c r="K65" s="123"/>
      <c r="L65" s="123"/>
      <c r="M65" s="127" t="s">
        <v>211</v>
      </c>
    </row>
    <row r="66" spans="1:13" s="14" customFormat="1" x14ac:dyDescent="0.2">
      <c r="A66" t="s">
        <v>101</v>
      </c>
      <c r="B66" t="s">
        <v>82</v>
      </c>
      <c r="C66" s="5">
        <v>44253</v>
      </c>
      <c r="D66" t="s">
        <v>44</v>
      </c>
      <c r="E66" s="7">
        <v>14799</v>
      </c>
      <c r="F66"/>
      <c r="G66"/>
      <c r="H66" s="37">
        <v>-0.9272999999999999</v>
      </c>
      <c r="I66" s="10"/>
      <c r="J66" s="10"/>
      <c r="K66" s="10"/>
      <c r="L66" s="93">
        <v>-845</v>
      </c>
      <c r="M66" s="51">
        <f>0.0177-0.945</f>
        <v>-0.9272999999999999</v>
      </c>
    </row>
    <row r="67" spans="1:13" s="14" customFormat="1" x14ac:dyDescent="0.2">
      <c r="A67" t="s">
        <v>101</v>
      </c>
      <c r="B67" t="s">
        <v>82</v>
      </c>
      <c r="C67" s="5">
        <v>44253</v>
      </c>
      <c r="D67" t="s">
        <v>46</v>
      </c>
      <c r="E67" s="7">
        <v>13390038</v>
      </c>
      <c r="F67"/>
      <c r="G67"/>
      <c r="H67" s="138">
        <v>-0.77869999999999995</v>
      </c>
      <c r="I67" s="10"/>
      <c r="J67" s="10"/>
      <c r="K67" s="10"/>
      <c r="L67" s="10"/>
      <c r="M67" s="51">
        <f>-0.6787-0.1</f>
        <v>-0.77869999999999995</v>
      </c>
    </row>
    <row r="68" spans="1:13" s="14" customFormat="1" x14ac:dyDescent="0.2">
      <c r="A68" t="s">
        <v>101</v>
      </c>
      <c r="B68" t="s">
        <v>82</v>
      </c>
      <c r="C68" s="5">
        <v>44253</v>
      </c>
      <c r="D68" t="s">
        <v>23</v>
      </c>
      <c r="E68" s="7"/>
      <c r="F68"/>
      <c r="G68"/>
      <c r="H68" s="37">
        <v>-1.1758999999999999</v>
      </c>
      <c r="I68" s="10"/>
      <c r="J68" s="10"/>
      <c r="K68" s="10"/>
      <c r="L68" s="10"/>
      <c r="M68" s="161">
        <v>-1.1758999999999999</v>
      </c>
    </row>
    <row r="69" spans="1:13" s="14" customFormat="1" x14ac:dyDescent="0.2">
      <c r="A69" t="s">
        <v>101</v>
      </c>
      <c r="B69" t="s">
        <v>82</v>
      </c>
      <c r="C69" s="5">
        <v>44253</v>
      </c>
      <c r="D69" t="s">
        <v>21</v>
      </c>
      <c r="E69" s="7"/>
      <c r="F69">
        <v>156536</v>
      </c>
      <c r="G69">
        <v>516436</v>
      </c>
      <c r="H69" s="37">
        <v>1.4518</v>
      </c>
      <c r="I69" s="10"/>
      <c r="J69" s="10"/>
      <c r="K69" s="10"/>
      <c r="L69" s="10"/>
      <c r="M69" s="81"/>
    </row>
    <row r="70" spans="1:13" s="14" customFormat="1" x14ac:dyDescent="0.2">
      <c r="A70" t="s">
        <v>101</v>
      </c>
      <c r="B70" t="s">
        <v>82</v>
      </c>
      <c r="C70" s="5">
        <v>44284</v>
      </c>
      <c r="D70" t="s">
        <v>44</v>
      </c>
      <c r="E70" s="7">
        <v>14799</v>
      </c>
      <c r="F70"/>
      <c r="G70"/>
      <c r="H70" s="37">
        <f>0.08-0.945</f>
        <v>-0.86499999999999999</v>
      </c>
      <c r="I70" s="10"/>
      <c r="J70" s="10"/>
      <c r="K70" s="10"/>
      <c r="L70" s="93">
        <v>-845</v>
      </c>
      <c r="M70" s="51">
        <f>0.08-0.945</f>
        <v>-0.86499999999999999</v>
      </c>
    </row>
    <row r="71" spans="1:13" s="14" customFormat="1" x14ac:dyDescent="0.2">
      <c r="A71" t="s">
        <v>101</v>
      </c>
      <c r="B71" t="s">
        <v>82</v>
      </c>
      <c r="C71" s="5">
        <v>44284</v>
      </c>
      <c r="D71" t="s">
        <v>46</v>
      </c>
      <c r="E71" s="7">
        <v>13390038</v>
      </c>
      <c r="F71"/>
      <c r="G71"/>
      <c r="H71" s="195">
        <f>-0.75-0.1</f>
        <v>-0.85</v>
      </c>
      <c r="I71" s="10"/>
      <c r="J71" s="10"/>
      <c r="K71" s="10"/>
      <c r="L71" s="10"/>
      <c r="M71" s="51">
        <f>-0.75-0.1</f>
        <v>-0.85</v>
      </c>
    </row>
    <row r="72" spans="1:13" s="14" customFormat="1" x14ac:dyDescent="0.2">
      <c r="A72" t="s">
        <v>101</v>
      </c>
      <c r="B72" t="s">
        <v>82</v>
      </c>
      <c r="C72" s="5">
        <v>44284</v>
      </c>
      <c r="D72" t="s">
        <v>23</v>
      </c>
      <c r="E72" s="7"/>
      <c r="F72"/>
      <c r="G72"/>
      <c r="H72" s="37">
        <v>-1.33</v>
      </c>
      <c r="I72" s="10"/>
      <c r="J72" s="10"/>
      <c r="K72" s="10"/>
      <c r="L72" s="10"/>
      <c r="M72" s="161">
        <v>-1.33</v>
      </c>
    </row>
    <row r="73" spans="1:13" s="14" customFormat="1" x14ac:dyDescent="0.2">
      <c r="A73" t="s">
        <v>101</v>
      </c>
      <c r="B73" t="s">
        <v>82</v>
      </c>
      <c r="C73" s="5">
        <v>44284</v>
      </c>
      <c r="D73" t="s">
        <v>21</v>
      </c>
      <c r="E73" s="7"/>
      <c r="F73">
        <v>156536</v>
      </c>
      <c r="G73">
        <v>516436</v>
      </c>
      <c r="H73" s="196">
        <v>1.38</v>
      </c>
      <c r="I73" s="10"/>
      <c r="J73" s="10"/>
      <c r="K73" s="10"/>
      <c r="L73" s="10"/>
      <c r="M73" s="81">
        <v>1.38</v>
      </c>
    </row>
    <row r="74" spans="1:13" s="14" customFormat="1" x14ac:dyDescent="0.2">
      <c r="A74"/>
      <c r="B74"/>
      <c r="C74"/>
      <c r="D74"/>
      <c r="E74" s="7"/>
      <c r="F74"/>
      <c r="G74"/>
      <c r="H74" s="10"/>
      <c r="I74" s="10"/>
      <c r="J74" s="10"/>
      <c r="K74" s="10"/>
      <c r="L74" s="10"/>
      <c r="M74" s="51"/>
    </row>
    <row r="75" spans="1:13" s="14" customFormat="1" x14ac:dyDescent="0.2">
      <c r="A75"/>
      <c r="B75"/>
      <c r="C75"/>
      <c r="D75"/>
      <c r="E75" s="7"/>
      <c r="F75"/>
      <c r="G75"/>
      <c r="H75" s="10"/>
      <c r="I75" s="10"/>
      <c r="J75" s="10"/>
      <c r="K75" s="10"/>
      <c r="L75" s="10"/>
      <c r="M75" s="51"/>
    </row>
    <row r="76" spans="1:13" s="14" customFormat="1" x14ac:dyDescent="0.2">
      <c r="A76"/>
      <c r="B76"/>
      <c r="C76"/>
      <c r="D76"/>
      <c r="E76" s="7"/>
      <c r="F76"/>
      <c r="G76"/>
      <c r="H76" s="10"/>
      <c r="I76" s="10"/>
      <c r="J76" s="10"/>
      <c r="K76" s="10"/>
      <c r="L76" s="10"/>
      <c r="M76" s="51"/>
    </row>
    <row r="77" spans="1:13" s="14" customFormat="1" x14ac:dyDescent="0.2">
      <c r="A77"/>
      <c r="B77"/>
      <c r="C77"/>
      <c r="D77"/>
      <c r="E77" s="7"/>
      <c r="F77"/>
      <c r="G77"/>
      <c r="H77" s="10"/>
      <c r="I77" s="10"/>
      <c r="J77" s="10"/>
      <c r="K77" s="10"/>
      <c r="L77" s="10"/>
      <c r="M77" s="51"/>
    </row>
    <row r="78" spans="1:13" s="14" customFormat="1" x14ac:dyDescent="0.2">
      <c r="A78"/>
      <c r="B78"/>
      <c r="C78"/>
      <c r="D78"/>
      <c r="E78" s="7"/>
      <c r="F78"/>
      <c r="G78"/>
      <c r="H78" s="10"/>
      <c r="I78" s="10"/>
      <c r="J78" s="10"/>
      <c r="K78" s="10"/>
      <c r="L78" s="10"/>
      <c r="M78" s="51"/>
    </row>
    <row r="79" spans="1:13" s="14" customFormat="1" x14ac:dyDescent="0.2">
      <c r="A79"/>
      <c r="B79"/>
      <c r="C79"/>
      <c r="D79"/>
      <c r="E79" s="7"/>
      <c r="F79"/>
      <c r="G79"/>
      <c r="H79" s="10"/>
      <c r="I79" s="10"/>
      <c r="J79" s="10"/>
      <c r="K79" s="10"/>
      <c r="L79" s="10"/>
      <c r="M79" s="51"/>
    </row>
    <row r="80" spans="1:13" s="14" customFormat="1" x14ac:dyDescent="0.2">
      <c r="A80"/>
      <c r="B80"/>
      <c r="C80"/>
      <c r="D80"/>
      <c r="E80" s="7"/>
      <c r="F80"/>
      <c r="G80"/>
      <c r="H80" s="10"/>
      <c r="I80" s="10"/>
      <c r="J80" s="10"/>
      <c r="K80" s="10"/>
      <c r="L80" s="10"/>
      <c r="M80" s="51"/>
    </row>
    <row r="81" spans="1:13" s="14" customFormat="1" x14ac:dyDescent="0.2">
      <c r="A81"/>
      <c r="B81"/>
      <c r="C81"/>
      <c r="D81"/>
      <c r="E81" s="7"/>
      <c r="F81"/>
      <c r="G81"/>
      <c r="H81" s="10"/>
      <c r="I81" s="10"/>
      <c r="J81" s="10"/>
      <c r="K81" s="10"/>
      <c r="L81" s="10"/>
      <c r="M81" s="51"/>
    </row>
    <row r="82" spans="1:13" s="14" customFormat="1" x14ac:dyDescent="0.2">
      <c r="A82"/>
      <c r="B82"/>
      <c r="C82"/>
      <c r="D82"/>
      <c r="E82" s="7"/>
      <c r="F82"/>
      <c r="G82"/>
      <c r="H82" s="10"/>
      <c r="I82" s="10"/>
      <c r="J82" s="10"/>
      <c r="K82" s="10"/>
      <c r="L82" s="10"/>
      <c r="M82" s="51"/>
    </row>
    <row r="83" spans="1:13" s="14" customFormat="1" x14ac:dyDescent="0.2">
      <c r="A83"/>
      <c r="B83"/>
      <c r="C83"/>
      <c r="D83"/>
      <c r="E83" s="7"/>
      <c r="F83"/>
      <c r="G83"/>
      <c r="H83" s="10"/>
      <c r="I83" s="10"/>
      <c r="J83" s="10"/>
      <c r="K83" s="10"/>
      <c r="L83" s="10"/>
      <c r="M83" s="51"/>
    </row>
    <row r="84" spans="1:13" s="14" customFormat="1" x14ac:dyDescent="0.2">
      <c r="A84"/>
      <c r="B84"/>
      <c r="C84"/>
      <c r="D84"/>
      <c r="E84" s="7"/>
      <c r="F84"/>
      <c r="G84"/>
      <c r="H84" s="10"/>
      <c r="I84" s="10"/>
      <c r="J84" s="10"/>
      <c r="K84" s="10"/>
      <c r="L84" s="10"/>
      <c r="M84" s="51"/>
    </row>
    <row r="85" spans="1:13" s="14" customFormat="1" x14ac:dyDescent="0.2">
      <c r="A85"/>
      <c r="B85"/>
      <c r="C85"/>
      <c r="D85"/>
      <c r="E85" s="7"/>
      <c r="F85"/>
      <c r="G85"/>
      <c r="H85" s="10"/>
      <c r="I85" s="10"/>
      <c r="J85" s="10"/>
      <c r="K85" s="10"/>
      <c r="L85" s="10"/>
      <c r="M85" s="51"/>
    </row>
    <row r="86" spans="1:13" s="14" customFormat="1" x14ac:dyDescent="0.2">
      <c r="A86"/>
      <c r="B86"/>
      <c r="C86"/>
      <c r="D86"/>
      <c r="E86" s="7"/>
      <c r="F86"/>
      <c r="G86"/>
      <c r="H86" s="10"/>
      <c r="I86" s="10"/>
      <c r="J86" s="10"/>
      <c r="K86" s="10"/>
      <c r="L86" s="10"/>
      <c r="M86" s="51"/>
    </row>
    <row r="87" spans="1:13" s="14" customFormat="1" x14ac:dyDescent="0.2">
      <c r="A87"/>
      <c r="B87"/>
      <c r="C87"/>
      <c r="D87"/>
      <c r="E87" s="7"/>
      <c r="F87"/>
      <c r="G87"/>
      <c r="H87" s="10"/>
      <c r="I87" s="10"/>
      <c r="J87" s="10"/>
      <c r="K87" s="10"/>
      <c r="L87" s="10"/>
      <c r="M87" s="51"/>
    </row>
    <row r="88" spans="1:13" s="14" customFormat="1" x14ac:dyDescent="0.2">
      <c r="A88"/>
      <c r="B88"/>
      <c r="C88"/>
      <c r="D88"/>
      <c r="E88" s="7"/>
      <c r="F88"/>
      <c r="G88"/>
      <c r="H88" s="10"/>
      <c r="I88" s="10"/>
      <c r="J88" s="10"/>
      <c r="K88" s="10"/>
      <c r="L88" s="10"/>
      <c r="M88" s="51"/>
    </row>
    <row r="89" spans="1:13" s="14" customFormat="1" x14ac:dyDescent="0.2">
      <c r="A89"/>
      <c r="B89"/>
      <c r="C89"/>
      <c r="D89"/>
      <c r="E89" s="7"/>
      <c r="F89"/>
      <c r="G89"/>
      <c r="H89" s="10"/>
      <c r="I89" s="10"/>
      <c r="J89" s="10"/>
      <c r="K89" s="10"/>
      <c r="L89" s="10"/>
      <c r="M89" s="51"/>
    </row>
    <row r="90" spans="1:13" s="14" customFormat="1" x14ac:dyDescent="0.2">
      <c r="A90"/>
      <c r="B90"/>
      <c r="C90"/>
      <c r="D90"/>
      <c r="E90" s="7"/>
      <c r="F90"/>
      <c r="G90"/>
      <c r="H90" s="10"/>
      <c r="I90" s="10"/>
      <c r="J90" s="10"/>
      <c r="K90" s="10"/>
      <c r="L90" s="10"/>
      <c r="M90" s="51"/>
    </row>
    <row r="91" spans="1:13" s="14" customFormat="1" x14ac:dyDescent="0.2">
      <c r="A91"/>
      <c r="B91"/>
      <c r="C91"/>
      <c r="D91"/>
      <c r="E91" s="7"/>
      <c r="F91"/>
      <c r="G91"/>
      <c r="H91" s="10"/>
      <c r="I91" s="10"/>
      <c r="J91" s="10"/>
      <c r="K91" s="10"/>
      <c r="L91" s="10"/>
      <c r="M91" s="51"/>
    </row>
    <row r="92" spans="1:13" s="14" customFormat="1" x14ac:dyDescent="0.2">
      <c r="A92"/>
      <c r="B92"/>
      <c r="C92"/>
      <c r="D92"/>
      <c r="E92" s="7"/>
      <c r="F92"/>
      <c r="G92"/>
      <c r="H92" s="10"/>
      <c r="I92" s="10"/>
      <c r="J92" s="10"/>
      <c r="K92" s="10"/>
      <c r="L92" s="10"/>
      <c r="M92" s="51"/>
    </row>
    <row r="93" spans="1:13" s="14" customFormat="1" x14ac:dyDescent="0.2">
      <c r="A93"/>
      <c r="B93"/>
      <c r="C93"/>
      <c r="D93"/>
      <c r="E93" s="7"/>
      <c r="F93"/>
      <c r="G93"/>
      <c r="H93" s="10"/>
      <c r="I93" s="10"/>
      <c r="J93" s="10"/>
      <c r="K93" s="10"/>
      <c r="L93" s="10"/>
      <c r="M93" s="51"/>
    </row>
    <row r="94" spans="1:13" s="14" customFormat="1" x14ac:dyDescent="0.2">
      <c r="A94"/>
      <c r="B94"/>
      <c r="C94"/>
      <c r="D94"/>
      <c r="E94" s="7"/>
      <c r="F94"/>
      <c r="G94"/>
      <c r="H94" s="10"/>
      <c r="I94" s="10"/>
      <c r="J94" s="10"/>
      <c r="K94" s="10"/>
      <c r="L94" s="10"/>
      <c r="M94" s="51"/>
    </row>
    <row r="95" spans="1:13" s="14" customFormat="1" x14ac:dyDescent="0.2">
      <c r="A95"/>
      <c r="B95"/>
      <c r="C95"/>
      <c r="D95"/>
      <c r="E95" s="7"/>
      <c r="F95"/>
      <c r="G95"/>
      <c r="H95" s="10"/>
      <c r="I95" s="10"/>
      <c r="J95" s="10"/>
      <c r="K95" s="10"/>
      <c r="L95" s="10"/>
      <c r="M95" s="51"/>
    </row>
    <row r="96" spans="1:13" s="14" customFormat="1" x14ac:dyDescent="0.2">
      <c r="A96"/>
      <c r="B96"/>
      <c r="C96"/>
      <c r="D96"/>
      <c r="E96" s="7"/>
      <c r="F96"/>
      <c r="G96"/>
      <c r="H96" s="10"/>
      <c r="I96" s="10"/>
      <c r="J96" s="10"/>
      <c r="K96" s="10"/>
      <c r="L96" s="10"/>
      <c r="M96" s="51"/>
    </row>
    <row r="97" spans="1:13" s="14" customFormat="1" x14ac:dyDescent="0.2">
      <c r="A97"/>
      <c r="B97"/>
      <c r="C97"/>
      <c r="D97"/>
      <c r="E97" s="7"/>
      <c r="F97"/>
      <c r="G97"/>
      <c r="H97" s="10"/>
      <c r="I97" s="10"/>
      <c r="J97" s="10"/>
      <c r="K97" s="10"/>
      <c r="L97" s="10"/>
      <c r="M97" s="51"/>
    </row>
    <row r="98" spans="1:13" s="14" customFormat="1" x14ac:dyDescent="0.2">
      <c r="A98"/>
      <c r="B98"/>
      <c r="C98"/>
      <c r="D98"/>
      <c r="E98" s="7"/>
      <c r="F98"/>
      <c r="G98"/>
      <c r="H98" s="10"/>
      <c r="I98" s="10"/>
      <c r="J98" s="10"/>
      <c r="K98" s="10"/>
      <c r="L98" s="10"/>
      <c r="M98" s="51"/>
    </row>
    <row r="99" spans="1:13" s="14" customFormat="1" x14ac:dyDescent="0.2">
      <c r="A99"/>
      <c r="B99"/>
      <c r="C99"/>
      <c r="D99"/>
      <c r="E99" s="7"/>
      <c r="F99"/>
      <c r="G99"/>
      <c r="H99" s="10"/>
      <c r="I99" s="10"/>
      <c r="J99" s="10"/>
      <c r="K99" s="10"/>
      <c r="L99" s="10"/>
      <c r="M99" s="51"/>
    </row>
    <row r="100" spans="1:13" s="14" customFormat="1" x14ac:dyDescent="0.2">
      <c r="A100"/>
      <c r="B100"/>
      <c r="C100"/>
      <c r="D100"/>
      <c r="E100" s="7"/>
      <c r="F100"/>
      <c r="G100"/>
      <c r="H100" s="10"/>
      <c r="I100" s="10"/>
      <c r="J100" s="10"/>
      <c r="K100" s="10"/>
      <c r="L100" s="10"/>
      <c r="M100" s="51"/>
    </row>
    <row r="101" spans="1:13" s="14" customFormat="1" x14ac:dyDescent="0.2">
      <c r="A101"/>
      <c r="B101"/>
      <c r="C101"/>
      <c r="D101"/>
      <c r="E101" s="7"/>
      <c r="F101"/>
      <c r="G101"/>
      <c r="H101" s="10"/>
      <c r="I101" s="10"/>
      <c r="J101" s="10"/>
      <c r="K101" s="10"/>
      <c r="L101" s="10"/>
      <c r="M101" s="51"/>
    </row>
    <row r="102" spans="1:13" s="14" customFormat="1" x14ac:dyDescent="0.2">
      <c r="A102"/>
      <c r="B102"/>
      <c r="C102"/>
      <c r="D102"/>
      <c r="E102" s="7"/>
      <c r="F102"/>
      <c r="G102"/>
      <c r="H102" s="10"/>
      <c r="I102" s="10"/>
      <c r="J102" s="10"/>
      <c r="K102" s="10"/>
      <c r="L102" s="10"/>
      <c r="M102" s="51"/>
    </row>
    <row r="103" spans="1:13" s="14" customFormat="1" x14ac:dyDescent="0.2">
      <c r="A103"/>
      <c r="B103"/>
      <c r="C103"/>
      <c r="D103"/>
      <c r="E103" s="7"/>
      <c r="F103"/>
      <c r="G103"/>
      <c r="H103" s="10"/>
      <c r="I103" s="10"/>
      <c r="J103" s="10"/>
      <c r="K103" s="10"/>
      <c r="L103" s="10"/>
      <c r="M103" s="51"/>
    </row>
    <row r="104" spans="1:13" s="14" customFormat="1" x14ac:dyDescent="0.2">
      <c r="A104"/>
      <c r="B104"/>
      <c r="C104"/>
      <c r="D104"/>
      <c r="E104" s="7"/>
      <c r="F104"/>
      <c r="G104"/>
      <c r="H104" s="10"/>
      <c r="I104" s="10"/>
      <c r="J104" s="10"/>
      <c r="K104" s="10"/>
      <c r="L104" s="10"/>
      <c r="M104" s="51"/>
    </row>
    <row r="105" spans="1:13" s="14" customFormat="1" x14ac:dyDescent="0.2">
      <c r="A105"/>
      <c r="B105"/>
      <c r="C105"/>
      <c r="D105"/>
      <c r="E105" s="7"/>
      <c r="F105"/>
      <c r="G105"/>
      <c r="H105" s="10"/>
      <c r="I105" s="10"/>
      <c r="J105" s="10"/>
      <c r="K105" s="10"/>
      <c r="L105" s="10"/>
      <c r="M105" s="51"/>
    </row>
    <row r="106" spans="1:13" s="14" customFormat="1" x14ac:dyDescent="0.2">
      <c r="A106"/>
      <c r="B106"/>
      <c r="C106"/>
      <c r="D106"/>
      <c r="E106" s="7"/>
      <c r="F106"/>
      <c r="G106"/>
      <c r="H106" s="10"/>
      <c r="I106" s="10"/>
      <c r="J106" s="10"/>
      <c r="K106" s="10"/>
      <c r="L106" s="10"/>
      <c r="M106" s="51"/>
    </row>
    <row r="107" spans="1:13" s="14" customFormat="1" x14ac:dyDescent="0.2">
      <c r="A107"/>
      <c r="B107"/>
      <c r="C107"/>
      <c r="D107"/>
      <c r="E107" s="7"/>
      <c r="F107"/>
      <c r="G107"/>
      <c r="H107" s="10"/>
      <c r="I107" s="10"/>
      <c r="J107" s="10"/>
      <c r="K107" s="10"/>
      <c r="L107" s="10"/>
      <c r="M107" s="51"/>
    </row>
    <row r="108" spans="1:13" s="14" customFormat="1" x14ac:dyDescent="0.2">
      <c r="A108"/>
      <c r="B108"/>
      <c r="C108"/>
      <c r="D108"/>
      <c r="E108" s="7"/>
      <c r="F108"/>
      <c r="G108"/>
      <c r="H108" s="10"/>
      <c r="I108" s="10"/>
      <c r="J108" s="10"/>
      <c r="K108" s="10"/>
      <c r="L108" s="10"/>
      <c r="M108" s="51"/>
    </row>
    <row r="109" spans="1:13" s="14" customFormat="1" x14ac:dyDescent="0.2">
      <c r="A109"/>
      <c r="B109"/>
      <c r="C109"/>
      <c r="D109"/>
      <c r="E109" s="7"/>
      <c r="F109"/>
      <c r="G109"/>
      <c r="H109" s="10"/>
      <c r="I109" s="10"/>
      <c r="J109" s="10"/>
      <c r="K109" s="10"/>
      <c r="L109" s="10"/>
      <c r="M109" s="51"/>
    </row>
    <row r="110" spans="1:13" s="14" customFormat="1" x14ac:dyDescent="0.2">
      <c r="A110"/>
      <c r="B110"/>
      <c r="C110"/>
      <c r="D110"/>
      <c r="E110" s="7"/>
      <c r="F110"/>
      <c r="G110"/>
      <c r="H110" s="10"/>
      <c r="I110" s="10"/>
      <c r="J110" s="10"/>
      <c r="K110" s="10"/>
      <c r="L110" s="10"/>
      <c r="M110" s="51"/>
    </row>
    <row r="111" spans="1:13" s="14" customFormat="1" x14ac:dyDescent="0.2">
      <c r="A111"/>
      <c r="B111"/>
      <c r="C111"/>
      <c r="D111"/>
      <c r="E111" s="7"/>
      <c r="F111"/>
      <c r="G111"/>
      <c r="H111" s="10"/>
      <c r="I111" s="10"/>
      <c r="J111" s="10"/>
      <c r="K111" s="10"/>
      <c r="L111" s="10"/>
      <c r="M111" s="51"/>
    </row>
    <row r="112" spans="1:13" s="14" customFormat="1" x14ac:dyDescent="0.2">
      <c r="A112"/>
      <c r="B112"/>
      <c r="C112"/>
      <c r="D112"/>
      <c r="E112" s="7"/>
      <c r="F112"/>
      <c r="G112"/>
      <c r="H112" s="10"/>
      <c r="I112" s="10"/>
      <c r="J112" s="10"/>
      <c r="K112" s="10"/>
      <c r="L112" s="10"/>
      <c r="M112" s="51"/>
    </row>
    <row r="113" spans="1:13" s="14" customFormat="1" x14ac:dyDescent="0.2">
      <c r="A113"/>
      <c r="B113"/>
      <c r="C113"/>
      <c r="D113"/>
      <c r="E113" s="7"/>
      <c r="F113"/>
      <c r="G113"/>
      <c r="H113" s="10"/>
      <c r="I113" s="10"/>
      <c r="J113" s="10"/>
      <c r="K113" s="10"/>
      <c r="L113" s="10"/>
      <c r="M113" s="51"/>
    </row>
    <row r="114" spans="1:13" s="14" customFormat="1" x14ac:dyDescent="0.2">
      <c r="A114"/>
      <c r="B114"/>
      <c r="C114"/>
      <c r="D114"/>
      <c r="E114" s="7"/>
      <c r="F114"/>
      <c r="G114"/>
      <c r="H114" s="10"/>
      <c r="I114" s="10"/>
      <c r="J114" s="10"/>
      <c r="K114" s="10"/>
      <c r="L114" s="10"/>
      <c r="M114" s="51"/>
    </row>
    <row r="115" spans="1:13" s="14" customFormat="1" x14ac:dyDescent="0.2">
      <c r="A115"/>
      <c r="B115"/>
      <c r="C115"/>
      <c r="D115"/>
      <c r="E115" s="7"/>
      <c r="F115"/>
      <c r="G115"/>
      <c r="H115" s="10"/>
      <c r="I115" s="10"/>
      <c r="J115" s="10"/>
      <c r="K115" s="10"/>
      <c r="L115" s="10"/>
      <c r="M115" s="51"/>
    </row>
    <row r="116" spans="1:13" s="14" customFormat="1" x14ac:dyDescent="0.2">
      <c r="A116"/>
      <c r="B116"/>
      <c r="C116"/>
      <c r="D116"/>
      <c r="E116" s="7"/>
      <c r="F116"/>
      <c r="G116"/>
      <c r="H116" s="10"/>
      <c r="I116" s="10"/>
      <c r="J116" s="10"/>
      <c r="K116" s="10"/>
      <c r="L116" s="10"/>
      <c r="M116" s="51"/>
    </row>
    <row r="117" spans="1:13" s="14" customFormat="1" x14ac:dyDescent="0.2">
      <c r="A117"/>
      <c r="B117"/>
      <c r="C117"/>
      <c r="D117"/>
      <c r="E117" s="7"/>
      <c r="F117"/>
      <c r="G117"/>
      <c r="H117" s="10"/>
      <c r="I117" s="10"/>
      <c r="J117" s="10"/>
      <c r="K117" s="10"/>
      <c r="L117" s="10"/>
      <c r="M117" s="51"/>
    </row>
    <row r="118" spans="1:13" s="14" customFormat="1" x14ac:dyDescent="0.2">
      <c r="A118"/>
      <c r="B118"/>
      <c r="C118"/>
      <c r="D118"/>
      <c r="E118" s="7"/>
      <c r="F118"/>
      <c r="G118"/>
      <c r="H118" s="10"/>
      <c r="I118" s="10"/>
      <c r="J118" s="10"/>
      <c r="K118" s="10"/>
      <c r="L118" s="10"/>
      <c r="M118" s="51"/>
    </row>
    <row r="119" spans="1:13" s="14" customFormat="1" x14ac:dyDescent="0.2">
      <c r="A119"/>
      <c r="B119"/>
      <c r="C119"/>
      <c r="D119"/>
      <c r="E119" s="7"/>
      <c r="F119"/>
      <c r="G119"/>
      <c r="H119" s="10"/>
      <c r="I119" s="10"/>
      <c r="J119" s="10"/>
      <c r="K119" s="10"/>
      <c r="L119" s="10"/>
      <c r="M119" s="51"/>
    </row>
    <row r="120" spans="1:13" s="14" customFormat="1" x14ac:dyDescent="0.2">
      <c r="A120"/>
      <c r="B120"/>
      <c r="C120"/>
      <c r="D120"/>
      <c r="E120" s="7"/>
      <c r="F120"/>
      <c r="G120"/>
      <c r="H120" s="10"/>
      <c r="I120" s="10"/>
      <c r="J120" s="10"/>
      <c r="K120" s="10"/>
      <c r="L120" s="10"/>
      <c r="M120" s="51"/>
    </row>
    <row r="121" spans="1:13" s="14" customFormat="1" x14ac:dyDescent="0.2">
      <c r="A121"/>
      <c r="B121"/>
      <c r="C121"/>
      <c r="D121"/>
      <c r="E121" s="7"/>
      <c r="F121"/>
      <c r="G121"/>
      <c r="H121" s="10"/>
      <c r="I121" s="10"/>
      <c r="J121" s="10"/>
      <c r="K121" s="10"/>
      <c r="L121" s="10"/>
      <c r="M121" s="51"/>
    </row>
    <row r="122" spans="1:13" s="14" customFormat="1" x14ac:dyDescent="0.2">
      <c r="A122"/>
      <c r="B122"/>
      <c r="C122"/>
      <c r="D122"/>
      <c r="E122" s="7"/>
      <c r="F122"/>
      <c r="G122"/>
      <c r="H122" s="10"/>
      <c r="I122" s="10"/>
      <c r="J122" s="10"/>
      <c r="K122" s="10"/>
      <c r="L122" s="10"/>
      <c r="M122" s="51"/>
    </row>
    <row r="123" spans="1:13" s="14" customFormat="1" x14ac:dyDescent="0.2">
      <c r="A123"/>
      <c r="B123"/>
      <c r="C123"/>
      <c r="D123"/>
      <c r="E123" s="7"/>
      <c r="F123"/>
      <c r="G123"/>
      <c r="H123" s="10"/>
      <c r="I123" s="10"/>
      <c r="J123" s="10"/>
      <c r="K123" s="10"/>
      <c r="L123" s="10"/>
      <c r="M123" s="51"/>
    </row>
    <row r="124" spans="1:13" s="14" customFormat="1" x14ac:dyDescent="0.2">
      <c r="A124"/>
      <c r="B124"/>
      <c r="C124"/>
      <c r="D124"/>
      <c r="E124" s="7"/>
      <c r="F124"/>
      <c r="G124"/>
      <c r="H124" s="10"/>
      <c r="I124" s="10"/>
      <c r="J124" s="10"/>
      <c r="K124" s="10"/>
      <c r="L124" s="10"/>
      <c r="M124" s="51"/>
    </row>
    <row r="125" spans="1:13" s="14" customFormat="1" x14ac:dyDescent="0.2">
      <c r="A125"/>
      <c r="B125"/>
      <c r="C125"/>
      <c r="D125"/>
      <c r="E125" s="7"/>
      <c r="F125"/>
      <c r="G125"/>
      <c r="H125" s="10"/>
      <c r="I125" s="10"/>
      <c r="J125" s="10"/>
      <c r="K125" s="10"/>
      <c r="L125" s="10"/>
      <c r="M125" s="51"/>
    </row>
    <row r="126" spans="1:13" s="14" customFormat="1" x14ac:dyDescent="0.2">
      <c r="A126"/>
      <c r="B126"/>
      <c r="C126"/>
      <c r="D126"/>
      <c r="E126" s="7"/>
      <c r="F126"/>
      <c r="G126"/>
      <c r="H126" s="10"/>
      <c r="I126" s="10"/>
      <c r="J126" s="10"/>
      <c r="K126" s="10"/>
      <c r="L126" s="10"/>
      <c r="M126" s="51"/>
    </row>
    <row r="127" spans="1:13" s="14" customFormat="1" x14ac:dyDescent="0.2">
      <c r="A127"/>
      <c r="B127"/>
      <c r="C127"/>
      <c r="D127"/>
      <c r="E127" s="7"/>
      <c r="F127"/>
      <c r="G127"/>
      <c r="H127" s="10"/>
      <c r="I127" s="10"/>
      <c r="J127" s="10"/>
      <c r="K127" s="10"/>
      <c r="L127" s="10"/>
      <c r="M127" s="51"/>
    </row>
    <row r="128" spans="1:13" s="14" customFormat="1" x14ac:dyDescent="0.2">
      <c r="A128"/>
      <c r="B128"/>
      <c r="C128"/>
      <c r="D128"/>
      <c r="E128" s="7"/>
      <c r="F128"/>
      <c r="G128"/>
      <c r="H128" s="10"/>
      <c r="I128" s="10"/>
      <c r="J128" s="10"/>
      <c r="K128" s="10"/>
      <c r="L128" s="10"/>
      <c r="M128" s="51"/>
    </row>
    <row r="129" spans="1:13" s="14" customFormat="1" x14ac:dyDescent="0.2">
      <c r="A129"/>
      <c r="B129"/>
      <c r="C129"/>
      <c r="D129"/>
      <c r="E129" s="7"/>
      <c r="F129"/>
      <c r="G129"/>
      <c r="H129" s="10"/>
      <c r="I129" s="10"/>
      <c r="J129" s="10"/>
      <c r="K129" s="10"/>
      <c r="L129" s="10"/>
      <c r="M129" s="51"/>
    </row>
    <row r="130" spans="1:13" s="14" customFormat="1" x14ac:dyDescent="0.2">
      <c r="A130"/>
      <c r="B130"/>
      <c r="C130"/>
      <c r="D130"/>
      <c r="E130" s="7"/>
      <c r="F130"/>
      <c r="G130"/>
      <c r="H130" s="10"/>
      <c r="I130" s="10"/>
      <c r="J130" s="10"/>
      <c r="K130" s="10"/>
      <c r="L130" s="10"/>
      <c r="M130" s="51"/>
    </row>
    <row r="131" spans="1:13" s="14" customFormat="1" x14ac:dyDescent="0.2">
      <c r="A131"/>
      <c r="B131"/>
      <c r="C131"/>
      <c r="D131"/>
      <c r="E131" s="7"/>
      <c r="F131"/>
      <c r="G131"/>
      <c r="H131" s="10"/>
      <c r="I131" s="10"/>
      <c r="J131" s="10"/>
      <c r="K131" s="10"/>
      <c r="L131" s="10"/>
      <c r="M131" s="51"/>
    </row>
    <row r="132" spans="1:13" s="14" customFormat="1" x14ac:dyDescent="0.2">
      <c r="A132"/>
      <c r="B132"/>
      <c r="C132"/>
      <c r="D132"/>
      <c r="E132" s="7"/>
      <c r="F132"/>
      <c r="G132"/>
      <c r="H132" s="10"/>
      <c r="I132" s="10"/>
      <c r="J132" s="10"/>
      <c r="K132" s="10"/>
      <c r="L132" s="10"/>
      <c r="M132" s="51"/>
    </row>
    <row r="133" spans="1:13" s="14" customFormat="1" x14ac:dyDescent="0.2">
      <c r="A133"/>
      <c r="B133"/>
      <c r="C133"/>
      <c r="D133"/>
      <c r="E133" s="7"/>
      <c r="F133"/>
      <c r="G133"/>
      <c r="H133" s="10"/>
      <c r="I133" s="10"/>
      <c r="J133" s="10"/>
      <c r="K133" s="10"/>
      <c r="L133" s="10"/>
      <c r="M133" s="51"/>
    </row>
    <row r="134" spans="1:13" s="14" customFormat="1" x14ac:dyDescent="0.2">
      <c r="A134"/>
      <c r="B134"/>
      <c r="C134"/>
      <c r="D134"/>
      <c r="E134" s="7"/>
      <c r="F134"/>
      <c r="G134"/>
      <c r="H134" s="10"/>
      <c r="I134" s="10"/>
      <c r="J134" s="10"/>
      <c r="K134" s="10"/>
      <c r="L134" s="10"/>
      <c r="M134" s="51"/>
    </row>
    <row r="135" spans="1:13" s="14" customFormat="1" x14ac:dyDescent="0.2">
      <c r="A135"/>
      <c r="B135"/>
      <c r="C135"/>
      <c r="D135"/>
      <c r="E135" s="7"/>
      <c r="F135"/>
      <c r="G135"/>
      <c r="H135" s="10"/>
      <c r="I135" s="10"/>
      <c r="J135" s="10"/>
      <c r="K135" s="10"/>
      <c r="L135" s="10"/>
      <c r="M135" s="51"/>
    </row>
    <row r="136" spans="1:13" s="14" customFormat="1" x14ac:dyDescent="0.2">
      <c r="A136"/>
      <c r="B136"/>
      <c r="C136"/>
      <c r="D136"/>
      <c r="E136" s="7"/>
      <c r="F136"/>
      <c r="G136"/>
      <c r="H136" s="10"/>
      <c r="I136" s="10"/>
      <c r="J136" s="10"/>
      <c r="K136" s="10"/>
      <c r="L136" s="10"/>
      <c r="M136" s="51"/>
    </row>
    <row r="137" spans="1:13" s="14" customFormat="1" x14ac:dyDescent="0.2">
      <c r="A137"/>
      <c r="B137"/>
      <c r="C137"/>
      <c r="D137"/>
      <c r="E137" s="7"/>
      <c r="F137"/>
      <c r="G137"/>
      <c r="H137" s="10"/>
      <c r="I137" s="10"/>
      <c r="J137" s="10"/>
      <c r="K137" s="10"/>
      <c r="L137" s="10"/>
      <c r="M137" s="51"/>
    </row>
    <row r="138" spans="1:13" s="14" customFormat="1" x14ac:dyDescent="0.2">
      <c r="A138"/>
      <c r="B138"/>
      <c r="C138"/>
      <c r="D138"/>
      <c r="E138" s="7"/>
      <c r="F138"/>
      <c r="G138"/>
      <c r="H138" s="10"/>
      <c r="I138" s="10"/>
      <c r="J138" s="10"/>
      <c r="K138" s="10"/>
      <c r="L138" s="10"/>
      <c r="M138" s="51"/>
    </row>
    <row r="139" spans="1:13" s="14" customFormat="1" x14ac:dyDescent="0.2">
      <c r="A139"/>
      <c r="B139"/>
      <c r="C139"/>
      <c r="D139"/>
      <c r="E139" s="7"/>
      <c r="F139"/>
      <c r="G139"/>
      <c r="H139" s="10"/>
      <c r="I139" s="10"/>
      <c r="J139" s="10"/>
      <c r="K139" s="10"/>
      <c r="L139" s="10"/>
      <c r="M139" s="51"/>
    </row>
    <row r="140" spans="1:13" s="14" customFormat="1" x14ac:dyDescent="0.2">
      <c r="A140"/>
      <c r="B140"/>
      <c r="C140"/>
      <c r="D140"/>
      <c r="E140" s="7"/>
      <c r="F140"/>
      <c r="G140"/>
      <c r="H140" s="10"/>
      <c r="I140" s="10"/>
      <c r="J140" s="10"/>
      <c r="K140" s="10"/>
      <c r="L140" s="10"/>
      <c r="M140" s="51"/>
    </row>
    <row r="141" spans="1:13" s="14" customFormat="1" x14ac:dyDescent="0.2">
      <c r="A141"/>
      <c r="B141"/>
      <c r="C141"/>
      <c r="D141"/>
      <c r="E141" s="7"/>
      <c r="F141"/>
      <c r="G141"/>
      <c r="H141" s="10"/>
      <c r="I141" s="10"/>
      <c r="J141" s="10"/>
      <c r="K141" s="10"/>
      <c r="L141" s="10"/>
      <c r="M141" s="51"/>
    </row>
    <row r="142" spans="1:13" s="14" customFormat="1" x14ac:dyDescent="0.2">
      <c r="A142"/>
      <c r="B142"/>
      <c r="C142"/>
      <c r="D142"/>
      <c r="E142" s="7"/>
      <c r="F142"/>
      <c r="G142"/>
      <c r="H142" s="10"/>
      <c r="I142" s="10"/>
      <c r="J142" s="10"/>
      <c r="K142" s="10"/>
      <c r="L142" s="10"/>
      <c r="M142" s="51"/>
    </row>
    <row r="143" spans="1:13" s="14" customFormat="1" x14ac:dyDescent="0.2">
      <c r="A143"/>
      <c r="B143"/>
      <c r="C143"/>
      <c r="D143"/>
      <c r="E143" s="7"/>
      <c r="F143"/>
      <c r="G143"/>
      <c r="H143" s="10"/>
      <c r="I143" s="10"/>
      <c r="J143" s="10"/>
      <c r="K143" s="10"/>
      <c r="L143" s="10"/>
      <c r="M143" s="51"/>
    </row>
    <row r="144" spans="1:13" s="14" customFormat="1" x14ac:dyDescent="0.2">
      <c r="A144"/>
      <c r="B144"/>
      <c r="C144"/>
      <c r="D144"/>
      <c r="E144" s="7"/>
      <c r="F144"/>
      <c r="G144"/>
      <c r="H144" s="10"/>
      <c r="I144" s="10"/>
      <c r="J144" s="10"/>
      <c r="K144" s="10"/>
      <c r="L144" s="10"/>
      <c r="M144" s="51"/>
    </row>
    <row r="145" spans="1:13" s="14" customFormat="1" x14ac:dyDescent="0.2">
      <c r="A145"/>
      <c r="B145"/>
      <c r="C145"/>
      <c r="D145"/>
      <c r="E145" s="7"/>
      <c r="F145"/>
      <c r="G145"/>
      <c r="H145" s="10"/>
      <c r="I145" s="10"/>
      <c r="J145" s="10"/>
      <c r="K145" s="10"/>
      <c r="L145" s="10"/>
      <c r="M145" s="51"/>
    </row>
    <row r="146" spans="1:13" s="14" customFormat="1" x14ac:dyDescent="0.2">
      <c r="A146"/>
      <c r="B146"/>
      <c r="C146"/>
      <c r="D146"/>
      <c r="E146" s="7"/>
      <c r="F146"/>
      <c r="G146"/>
      <c r="H146" s="10"/>
      <c r="I146" s="10"/>
      <c r="J146" s="10"/>
      <c r="K146" s="10"/>
      <c r="L146" s="10"/>
      <c r="M146" s="51"/>
    </row>
    <row r="147" spans="1:13" s="14" customFormat="1" x14ac:dyDescent="0.2">
      <c r="A147"/>
      <c r="B147"/>
      <c r="C147"/>
      <c r="D147"/>
      <c r="E147" s="7"/>
      <c r="F147"/>
      <c r="G147"/>
      <c r="H147" s="10"/>
      <c r="I147" s="10"/>
      <c r="J147" s="10"/>
      <c r="K147" s="10"/>
      <c r="L147" s="10"/>
      <c r="M147" s="51"/>
    </row>
    <row r="148" spans="1:13" s="14" customFormat="1" x14ac:dyDescent="0.2">
      <c r="A148"/>
      <c r="B148"/>
      <c r="C148"/>
      <c r="D148"/>
      <c r="E148" s="7"/>
      <c r="F148"/>
      <c r="G148"/>
      <c r="H148" s="10"/>
      <c r="I148" s="10"/>
      <c r="J148" s="10"/>
      <c r="K148" s="10"/>
      <c r="L148" s="10"/>
      <c r="M148" s="51"/>
    </row>
    <row r="149" spans="1:13" s="14" customFormat="1" x14ac:dyDescent="0.2">
      <c r="A149"/>
      <c r="B149"/>
      <c r="C149"/>
      <c r="D149"/>
      <c r="E149" s="7"/>
      <c r="F149"/>
      <c r="G149"/>
      <c r="H149" s="10"/>
      <c r="I149" s="10"/>
      <c r="J149" s="10"/>
      <c r="K149" s="10"/>
      <c r="L149" s="10"/>
      <c r="M149" s="51"/>
    </row>
    <row r="150" spans="1:13" s="14" customFormat="1" x14ac:dyDescent="0.2">
      <c r="A150"/>
      <c r="B150"/>
      <c r="C150"/>
      <c r="D150"/>
      <c r="E150" s="7"/>
      <c r="F150"/>
      <c r="G150"/>
      <c r="H150" s="10"/>
      <c r="I150" s="10"/>
      <c r="J150" s="10"/>
      <c r="K150" s="10"/>
      <c r="L150" s="10"/>
      <c r="M150" s="51"/>
    </row>
    <row r="151" spans="1:13" s="14" customFormat="1" x14ac:dyDescent="0.2">
      <c r="A151"/>
      <c r="B151"/>
      <c r="C151"/>
      <c r="D151"/>
      <c r="E151" s="7"/>
      <c r="F151"/>
      <c r="G151"/>
      <c r="H151" s="10"/>
      <c r="I151" s="10"/>
      <c r="J151" s="10"/>
      <c r="K151" s="10"/>
      <c r="L151" s="10"/>
      <c r="M151" s="51"/>
    </row>
    <row r="152" spans="1:13" s="14" customFormat="1" x14ac:dyDescent="0.2">
      <c r="A152"/>
      <c r="B152"/>
      <c r="C152"/>
      <c r="D152"/>
      <c r="E152" s="7"/>
      <c r="F152"/>
      <c r="G152"/>
      <c r="H152" s="10"/>
      <c r="I152" s="10"/>
      <c r="J152" s="10"/>
      <c r="K152" s="10"/>
      <c r="L152" s="10"/>
      <c r="M152" s="51"/>
    </row>
    <row r="153" spans="1:13" s="14" customFormat="1" x14ac:dyDescent="0.2">
      <c r="A153"/>
      <c r="B153"/>
      <c r="C153"/>
      <c r="D153"/>
      <c r="E153" s="7"/>
      <c r="F153"/>
      <c r="G153"/>
      <c r="H153" s="10"/>
      <c r="I153" s="10"/>
      <c r="J153" s="10"/>
      <c r="K153" s="10"/>
      <c r="L153" s="10"/>
      <c r="M153" s="51"/>
    </row>
    <row r="154" spans="1:13" s="14" customFormat="1" x14ac:dyDescent="0.2">
      <c r="A154"/>
      <c r="B154"/>
      <c r="C154"/>
      <c r="D154"/>
      <c r="E154" s="7"/>
      <c r="F154"/>
      <c r="G154"/>
      <c r="H154" s="10"/>
      <c r="I154" s="10"/>
      <c r="J154" s="10"/>
      <c r="K154" s="10"/>
      <c r="L154" s="10"/>
      <c r="M154" s="51"/>
    </row>
    <row r="155" spans="1:13" s="14" customFormat="1" x14ac:dyDescent="0.2">
      <c r="A155"/>
      <c r="B155"/>
      <c r="C155"/>
      <c r="D155"/>
      <c r="E155" s="7"/>
      <c r="F155"/>
      <c r="G155"/>
      <c r="H155" s="10"/>
      <c r="I155" s="10"/>
      <c r="J155" s="10"/>
      <c r="K155" s="10"/>
      <c r="L155" s="10"/>
      <c r="M155" s="51"/>
    </row>
    <row r="156" spans="1:13" s="14" customFormat="1" x14ac:dyDescent="0.2">
      <c r="A156"/>
      <c r="B156"/>
      <c r="C156"/>
      <c r="D156"/>
      <c r="E156" s="7"/>
      <c r="F156"/>
      <c r="G156"/>
      <c r="H156" s="10"/>
      <c r="I156" s="10"/>
      <c r="J156" s="10"/>
      <c r="K156" s="10"/>
      <c r="L156" s="10"/>
      <c r="M156" s="51"/>
    </row>
    <row r="157" spans="1:13" s="14" customFormat="1" x14ac:dyDescent="0.2">
      <c r="A157"/>
      <c r="B157"/>
      <c r="C157"/>
      <c r="D157"/>
      <c r="E157" s="7"/>
      <c r="F157"/>
      <c r="G157"/>
      <c r="H157" s="10"/>
      <c r="I157" s="10"/>
      <c r="J157" s="10"/>
      <c r="K157" s="10"/>
      <c r="L157" s="10"/>
      <c r="M157" s="51"/>
    </row>
    <row r="158" spans="1:13" s="14" customFormat="1" x14ac:dyDescent="0.2">
      <c r="A158"/>
      <c r="B158"/>
      <c r="C158"/>
      <c r="D158"/>
      <c r="E158" s="7"/>
      <c r="F158"/>
      <c r="G158"/>
      <c r="H158" s="10"/>
      <c r="I158" s="10"/>
      <c r="J158" s="10"/>
      <c r="K158" s="10"/>
      <c r="L158" s="10"/>
      <c r="M158" s="51"/>
    </row>
    <row r="159" spans="1:13" s="14" customFormat="1" x14ac:dyDescent="0.2">
      <c r="A159"/>
      <c r="B159"/>
      <c r="C159"/>
      <c r="D159"/>
      <c r="E159" s="7"/>
      <c r="F159"/>
      <c r="G159"/>
      <c r="H159" s="10"/>
      <c r="I159" s="10"/>
      <c r="J159" s="10"/>
      <c r="K159" s="10"/>
      <c r="L159" s="10"/>
      <c r="M159" s="51"/>
    </row>
    <row r="160" spans="1:13" s="14" customFormat="1" x14ac:dyDescent="0.2">
      <c r="A160"/>
      <c r="B160"/>
      <c r="C160"/>
      <c r="D160"/>
      <c r="E160" s="7"/>
      <c r="F160"/>
      <c r="G160"/>
      <c r="H160" s="10"/>
      <c r="I160" s="10"/>
      <c r="J160" s="10"/>
      <c r="K160" s="10"/>
      <c r="L160" s="10"/>
      <c r="M160" s="51"/>
    </row>
    <row r="161" spans="1:13" s="14" customFormat="1" x14ac:dyDescent="0.2">
      <c r="A161"/>
      <c r="B161"/>
      <c r="C161"/>
      <c r="D161"/>
      <c r="E161" s="7"/>
      <c r="F161"/>
      <c r="G161"/>
      <c r="H161" s="10"/>
      <c r="I161" s="10"/>
      <c r="J161" s="10"/>
      <c r="K161" s="10"/>
      <c r="L161" s="10"/>
      <c r="M161" s="51"/>
    </row>
    <row r="162" spans="1:13" s="14" customFormat="1" x14ac:dyDescent="0.2">
      <c r="A162"/>
      <c r="B162"/>
      <c r="C162"/>
      <c r="D162"/>
      <c r="E162" s="7"/>
      <c r="F162"/>
      <c r="G162"/>
      <c r="H162" s="10"/>
      <c r="I162" s="10"/>
      <c r="J162" s="10"/>
      <c r="K162" s="10"/>
      <c r="L162" s="10"/>
      <c r="M162" s="51"/>
    </row>
    <row r="163" spans="1:13" s="14" customFormat="1" x14ac:dyDescent="0.2">
      <c r="A163"/>
      <c r="B163"/>
      <c r="C163"/>
      <c r="D163"/>
      <c r="E163" s="7"/>
      <c r="F163"/>
      <c r="G163"/>
      <c r="H163" s="10"/>
      <c r="I163" s="10"/>
      <c r="J163" s="10"/>
      <c r="K163" s="10"/>
      <c r="L163" s="10"/>
      <c r="M163" s="51"/>
    </row>
    <row r="164" spans="1:13" s="14" customFormat="1" x14ac:dyDescent="0.2">
      <c r="A164"/>
      <c r="B164"/>
      <c r="C164"/>
      <c r="D164"/>
      <c r="E164" s="7"/>
      <c r="F164"/>
      <c r="G164"/>
      <c r="H164" s="10"/>
      <c r="I164" s="10"/>
      <c r="J164" s="10"/>
      <c r="K164" s="10"/>
      <c r="L164" s="10"/>
      <c r="M164" s="51"/>
    </row>
    <row r="165" spans="1:13" s="14" customFormat="1" x14ac:dyDescent="0.2">
      <c r="A165"/>
      <c r="B165"/>
      <c r="C165"/>
      <c r="D165"/>
      <c r="E165" s="7"/>
      <c r="F165"/>
      <c r="G165"/>
      <c r="H165" s="10"/>
      <c r="I165" s="10"/>
      <c r="J165" s="10"/>
      <c r="K165" s="10"/>
      <c r="L165" s="10"/>
      <c r="M165" s="51"/>
    </row>
    <row r="166" spans="1:13" s="14" customFormat="1" x14ac:dyDescent="0.2">
      <c r="A166"/>
      <c r="B166"/>
      <c r="C166"/>
      <c r="D166"/>
      <c r="E166" s="7"/>
      <c r="F166"/>
      <c r="G166"/>
      <c r="H166" s="10"/>
      <c r="I166" s="10"/>
      <c r="J166" s="10"/>
      <c r="K166" s="10"/>
      <c r="L166" s="10"/>
      <c r="M166" s="51"/>
    </row>
    <row r="167" spans="1:13" s="14" customFormat="1" x14ac:dyDescent="0.2">
      <c r="A167"/>
      <c r="B167"/>
      <c r="C167"/>
      <c r="D167"/>
      <c r="E167" s="7"/>
      <c r="F167"/>
      <c r="G167"/>
      <c r="H167" s="10"/>
      <c r="I167" s="10"/>
      <c r="J167" s="10"/>
      <c r="K167" s="10"/>
      <c r="L167" s="10"/>
      <c r="M167" s="51"/>
    </row>
    <row r="168" spans="1:13" s="14" customFormat="1" x14ac:dyDescent="0.2">
      <c r="A168"/>
      <c r="B168"/>
      <c r="C168"/>
      <c r="D168"/>
      <c r="E168" s="7"/>
      <c r="F168"/>
      <c r="G168"/>
      <c r="H168" s="10"/>
      <c r="I168" s="10"/>
      <c r="J168" s="10"/>
      <c r="K168" s="10"/>
      <c r="L168" s="10"/>
      <c r="M168" s="51"/>
    </row>
    <row r="169" spans="1:13" s="14" customFormat="1" x14ac:dyDescent="0.2">
      <c r="A169"/>
      <c r="B169"/>
      <c r="C169"/>
      <c r="D169"/>
      <c r="E169" s="7"/>
      <c r="F169"/>
      <c r="G169"/>
      <c r="H169" s="10"/>
      <c r="I169" s="10"/>
      <c r="J169" s="10"/>
      <c r="K169" s="10"/>
      <c r="L169" s="10"/>
      <c r="M169" s="51"/>
    </row>
    <row r="170" spans="1:13" s="14" customFormat="1" x14ac:dyDescent="0.2">
      <c r="A170"/>
      <c r="B170"/>
      <c r="C170"/>
      <c r="D170"/>
      <c r="E170" s="7"/>
      <c r="F170"/>
      <c r="G170"/>
      <c r="H170" s="10"/>
      <c r="I170" s="10"/>
      <c r="J170" s="10"/>
      <c r="K170" s="10"/>
      <c r="L170" s="10"/>
      <c r="M170" s="51"/>
    </row>
    <row r="171" spans="1:13" s="14" customFormat="1" x14ac:dyDescent="0.2">
      <c r="A171"/>
      <c r="B171"/>
      <c r="C171"/>
      <c r="D171"/>
      <c r="E171" s="7"/>
      <c r="F171"/>
      <c r="G171"/>
      <c r="H171" s="10"/>
      <c r="I171" s="10"/>
      <c r="J171" s="10"/>
      <c r="K171" s="10"/>
      <c r="L171" s="10"/>
      <c r="M171" s="51"/>
    </row>
    <row r="172" spans="1:13" s="14" customFormat="1" x14ac:dyDescent="0.2">
      <c r="A172"/>
      <c r="B172"/>
      <c r="C172"/>
      <c r="D172"/>
      <c r="E172" s="7"/>
      <c r="F172"/>
      <c r="G172"/>
      <c r="H172" s="10"/>
      <c r="I172" s="10"/>
      <c r="J172" s="10"/>
      <c r="K172" s="10"/>
      <c r="L172" s="10"/>
      <c r="M172" s="51"/>
    </row>
    <row r="173" spans="1:13" s="14" customFormat="1" x14ac:dyDescent="0.2">
      <c r="A173"/>
      <c r="B173"/>
      <c r="C173"/>
      <c r="D173"/>
      <c r="E173" s="7"/>
      <c r="F173"/>
      <c r="G173"/>
      <c r="H173" s="10"/>
      <c r="I173" s="10"/>
      <c r="J173" s="10"/>
      <c r="K173" s="10"/>
      <c r="L173" s="10"/>
      <c r="M173" s="51"/>
    </row>
    <row r="174" spans="1:13" s="14" customFormat="1" x14ac:dyDescent="0.2">
      <c r="A174"/>
      <c r="B174"/>
      <c r="C174"/>
      <c r="D174"/>
      <c r="E174" s="7"/>
      <c r="F174"/>
      <c r="G174"/>
      <c r="H174" s="10"/>
      <c r="I174" s="10"/>
      <c r="J174" s="10"/>
      <c r="K174" s="10"/>
      <c r="L174" s="10"/>
      <c r="M174" s="51"/>
    </row>
    <row r="175" spans="1:13" s="14" customFormat="1" x14ac:dyDescent="0.2">
      <c r="A175"/>
      <c r="B175"/>
      <c r="C175"/>
      <c r="D175"/>
      <c r="E175" s="7"/>
      <c r="F175"/>
      <c r="G175"/>
      <c r="H175" s="10"/>
      <c r="I175" s="10"/>
      <c r="J175" s="10"/>
      <c r="K175" s="10"/>
      <c r="L175" s="10"/>
      <c r="M175" s="51"/>
    </row>
    <row r="176" spans="1:13" s="14" customFormat="1" x14ac:dyDescent="0.2">
      <c r="A176"/>
      <c r="B176"/>
      <c r="C176"/>
      <c r="D176"/>
      <c r="E176" s="7"/>
      <c r="F176"/>
      <c r="G176"/>
      <c r="H176" s="10"/>
      <c r="I176" s="10"/>
      <c r="J176" s="10"/>
      <c r="K176" s="10"/>
      <c r="L176" s="10"/>
      <c r="M176" s="51"/>
    </row>
    <row r="177" spans="1:13" s="14" customFormat="1" x14ac:dyDescent="0.2">
      <c r="A177"/>
      <c r="B177"/>
      <c r="C177"/>
      <c r="D177"/>
      <c r="E177" s="7"/>
      <c r="F177"/>
      <c r="G177"/>
      <c r="H177" s="10"/>
      <c r="I177" s="10"/>
      <c r="J177" s="10"/>
      <c r="K177" s="10"/>
      <c r="L177" s="10"/>
      <c r="M177" s="51"/>
    </row>
    <row r="178" spans="1:13" s="14" customFormat="1" x14ac:dyDescent="0.2">
      <c r="A178"/>
      <c r="B178"/>
      <c r="C178"/>
      <c r="D178"/>
      <c r="E178" s="7"/>
      <c r="F178"/>
      <c r="G178"/>
      <c r="H178" s="10"/>
      <c r="I178" s="10"/>
      <c r="J178" s="10"/>
      <c r="K178" s="10"/>
      <c r="L178" s="10"/>
      <c r="M178" s="51"/>
    </row>
    <row r="179" spans="1:13" s="14" customFormat="1" x14ac:dyDescent="0.2">
      <c r="A179"/>
      <c r="B179"/>
      <c r="C179"/>
      <c r="D179"/>
      <c r="E179" s="7"/>
      <c r="F179"/>
      <c r="G179"/>
      <c r="H179" s="10"/>
      <c r="I179" s="10"/>
      <c r="J179" s="10"/>
      <c r="K179" s="10"/>
      <c r="L179" s="10"/>
      <c r="M179" s="51"/>
    </row>
    <row r="180" spans="1:13" s="14" customFormat="1" x14ac:dyDescent="0.2">
      <c r="A180"/>
      <c r="B180"/>
      <c r="C180"/>
      <c r="D180"/>
      <c r="E180" s="7"/>
      <c r="F180"/>
      <c r="G180"/>
      <c r="H180" s="10"/>
      <c r="I180" s="10"/>
      <c r="J180" s="10"/>
      <c r="K180" s="10"/>
      <c r="L180" s="10"/>
      <c r="M180" s="51"/>
    </row>
    <row r="181" spans="1:13" s="14" customFormat="1" x14ac:dyDescent="0.2">
      <c r="A181"/>
      <c r="B181"/>
      <c r="C181"/>
      <c r="D181"/>
      <c r="E181" s="7"/>
      <c r="F181"/>
      <c r="G181"/>
      <c r="H181" s="10"/>
      <c r="I181" s="10"/>
      <c r="J181" s="10"/>
      <c r="K181" s="10"/>
      <c r="L181" s="10"/>
      <c r="M181" s="51"/>
    </row>
    <row r="182" spans="1:13" s="14" customFormat="1" x14ac:dyDescent="0.2">
      <c r="A182"/>
      <c r="B182"/>
      <c r="C182"/>
      <c r="D182"/>
      <c r="E182" s="7"/>
      <c r="F182"/>
      <c r="G182"/>
      <c r="H182" s="10"/>
      <c r="I182" s="10"/>
      <c r="J182" s="10"/>
      <c r="K182" s="10"/>
      <c r="L182" s="10"/>
      <c r="M182" s="51"/>
    </row>
    <row r="183" spans="1:13" s="14" customFormat="1" x14ac:dyDescent="0.2">
      <c r="A183"/>
      <c r="B183"/>
      <c r="C183"/>
      <c r="D183"/>
      <c r="E183" s="7"/>
      <c r="F183"/>
      <c r="G183"/>
      <c r="H183" s="10"/>
      <c r="I183" s="10"/>
      <c r="J183" s="10"/>
      <c r="K183" s="10"/>
      <c r="L183" s="10"/>
      <c r="M183" s="51"/>
    </row>
    <row r="184" spans="1:13" s="14" customFormat="1" x14ac:dyDescent="0.2">
      <c r="A184"/>
      <c r="B184"/>
      <c r="C184"/>
      <c r="D184"/>
      <c r="E184" s="7"/>
      <c r="F184"/>
      <c r="G184"/>
      <c r="H184" s="10"/>
      <c r="I184" s="10"/>
      <c r="J184" s="10"/>
      <c r="K184" s="10"/>
      <c r="L184" s="10"/>
      <c r="M184" s="51"/>
    </row>
    <row r="185" spans="1:13" s="14" customFormat="1" x14ac:dyDescent="0.2">
      <c r="A185"/>
      <c r="B185"/>
      <c r="C185"/>
      <c r="D185"/>
      <c r="E185" s="7"/>
      <c r="F185"/>
      <c r="G185"/>
      <c r="H185" s="10"/>
      <c r="I185" s="10"/>
      <c r="J185" s="10"/>
      <c r="K185" s="10"/>
      <c r="L185" s="10"/>
      <c r="M185" s="51"/>
    </row>
    <row r="186" spans="1:13" s="14" customFormat="1" x14ac:dyDescent="0.2">
      <c r="A186"/>
      <c r="B186"/>
      <c r="C186"/>
      <c r="D186"/>
      <c r="E186" s="7"/>
      <c r="F186"/>
      <c r="G186"/>
      <c r="H186" s="10"/>
      <c r="I186" s="10"/>
      <c r="J186" s="10"/>
      <c r="K186" s="10"/>
      <c r="L186" s="10"/>
      <c r="M186" s="51"/>
    </row>
    <row r="187" spans="1:13" s="14" customFormat="1" x14ac:dyDescent="0.2">
      <c r="A187"/>
      <c r="B187"/>
      <c r="C187"/>
      <c r="D187"/>
      <c r="E187" s="7"/>
      <c r="F187"/>
      <c r="G187"/>
      <c r="H187" s="10"/>
      <c r="I187" s="10"/>
      <c r="J187" s="10"/>
      <c r="K187" s="10"/>
      <c r="L187" s="10"/>
      <c r="M187" s="51"/>
    </row>
    <row r="188" spans="1:13" s="14" customFormat="1" x14ac:dyDescent="0.2">
      <c r="A188"/>
      <c r="B188"/>
      <c r="C188"/>
      <c r="D188"/>
      <c r="E188" s="7"/>
      <c r="F188"/>
      <c r="G188"/>
      <c r="H188" s="10"/>
      <c r="I188" s="10"/>
      <c r="J188" s="10"/>
      <c r="K188" s="10"/>
      <c r="L188" s="10"/>
      <c r="M188" s="51"/>
    </row>
    <row r="189" spans="1:13" s="14" customFormat="1" x14ac:dyDescent="0.2">
      <c r="A189"/>
      <c r="B189"/>
      <c r="C189"/>
      <c r="D189"/>
      <c r="E189" s="7"/>
      <c r="F189"/>
      <c r="G189"/>
      <c r="H189" s="10"/>
      <c r="I189" s="10"/>
      <c r="J189" s="10"/>
      <c r="K189" s="10"/>
      <c r="L189" s="10"/>
      <c r="M189" s="51"/>
    </row>
    <row r="190" spans="1:13" s="14" customFormat="1" x14ac:dyDescent="0.2">
      <c r="A190"/>
      <c r="B190"/>
      <c r="C190"/>
      <c r="D190"/>
      <c r="E190" s="7"/>
      <c r="F190"/>
      <c r="G190"/>
      <c r="H190" s="10"/>
      <c r="I190" s="10"/>
      <c r="J190" s="10"/>
      <c r="K190" s="10"/>
      <c r="L190" s="10"/>
      <c r="M190" s="51"/>
    </row>
    <row r="191" spans="1:13" s="14" customFormat="1" x14ac:dyDescent="0.2">
      <c r="A191"/>
      <c r="B191"/>
      <c r="C191"/>
      <c r="D191"/>
      <c r="E191" s="7"/>
      <c r="F191"/>
      <c r="G191"/>
      <c r="H191" s="10"/>
      <c r="I191" s="10"/>
      <c r="J191" s="10"/>
      <c r="K191" s="10"/>
      <c r="L191" s="10"/>
      <c r="M191" s="51"/>
    </row>
    <row r="192" spans="1:13" s="14" customFormat="1" x14ac:dyDescent="0.2">
      <c r="A192"/>
      <c r="B192"/>
      <c r="C192"/>
      <c r="D192"/>
      <c r="E192" s="7"/>
      <c r="F192"/>
      <c r="G192"/>
      <c r="H192" s="10"/>
      <c r="I192" s="10"/>
      <c r="J192" s="10"/>
      <c r="K192" s="10"/>
      <c r="L192" s="10"/>
      <c r="M192" s="51"/>
    </row>
    <row r="193" spans="1:13" s="14" customFormat="1" x14ac:dyDescent="0.2">
      <c r="A193"/>
      <c r="B193"/>
      <c r="C193"/>
      <c r="D193"/>
      <c r="E193" s="7"/>
      <c r="F193"/>
      <c r="G193"/>
      <c r="H193" s="10"/>
      <c r="I193" s="10"/>
      <c r="J193" s="10"/>
      <c r="K193" s="10"/>
      <c r="L193" s="10"/>
      <c r="M193" s="51"/>
    </row>
    <row r="194" spans="1:13" s="14" customFormat="1" x14ac:dyDescent="0.2">
      <c r="A194"/>
      <c r="B194"/>
      <c r="C194"/>
      <c r="D194"/>
      <c r="E194" s="7"/>
      <c r="F194"/>
      <c r="G194"/>
      <c r="H194" s="10"/>
      <c r="I194" s="10"/>
      <c r="J194" s="10"/>
      <c r="K194" s="10"/>
      <c r="L194" s="10"/>
      <c r="M194" s="51"/>
    </row>
    <row r="195" spans="1:13" s="14" customFormat="1" x14ac:dyDescent="0.2">
      <c r="A195"/>
      <c r="B195"/>
      <c r="C195"/>
      <c r="D195"/>
      <c r="E195" s="7"/>
      <c r="F195"/>
      <c r="G195"/>
      <c r="H195" s="10"/>
      <c r="I195" s="10"/>
      <c r="J195" s="10"/>
      <c r="K195" s="10"/>
      <c r="L195" s="10"/>
      <c r="M195" s="51"/>
    </row>
    <row r="196" spans="1:13" s="14" customFormat="1" x14ac:dyDescent="0.2">
      <c r="A196"/>
      <c r="B196"/>
      <c r="C196"/>
      <c r="D196"/>
      <c r="E196" s="7"/>
      <c r="F196"/>
      <c r="G196"/>
      <c r="H196" s="10"/>
      <c r="I196" s="10"/>
      <c r="J196" s="10"/>
      <c r="K196" s="10"/>
      <c r="L196" s="10"/>
      <c r="M196" s="51"/>
    </row>
    <row r="197" spans="1:13" s="14" customFormat="1" x14ac:dyDescent="0.2">
      <c r="A197"/>
      <c r="B197"/>
      <c r="C197"/>
      <c r="D197"/>
      <c r="E197" s="7"/>
      <c r="F197"/>
      <c r="G197"/>
      <c r="H197" s="10"/>
      <c r="I197" s="10"/>
      <c r="J197" s="10"/>
      <c r="K197" s="10"/>
      <c r="L197" s="10"/>
      <c r="M197" s="51"/>
    </row>
    <row r="198" spans="1:13" s="14" customFormat="1" x14ac:dyDescent="0.2">
      <c r="A198"/>
      <c r="B198"/>
      <c r="C198"/>
      <c r="D198"/>
      <c r="E198" s="7"/>
      <c r="F198"/>
      <c r="G198"/>
      <c r="H198" s="10"/>
      <c r="I198" s="10"/>
      <c r="J198" s="10"/>
      <c r="K198" s="10"/>
      <c r="L198" s="10"/>
      <c r="M198" s="51"/>
    </row>
    <row r="199" spans="1:13" s="14" customFormat="1" x14ac:dyDescent="0.2">
      <c r="A199"/>
      <c r="B199"/>
      <c r="C199"/>
      <c r="D199"/>
      <c r="E199" s="7"/>
      <c r="F199"/>
      <c r="G199"/>
      <c r="H199" s="10"/>
      <c r="I199" s="10"/>
      <c r="J199" s="10"/>
      <c r="K199" s="10"/>
      <c r="L199" s="10"/>
      <c r="M199" s="51"/>
    </row>
    <row r="200" spans="1:13" s="14" customFormat="1" x14ac:dyDescent="0.2">
      <c r="A200"/>
      <c r="B200"/>
      <c r="C200"/>
      <c r="D200"/>
      <c r="E200" s="7"/>
      <c r="F200"/>
      <c r="G200"/>
      <c r="H200" s="10"/>
      <c r="I200" s="10"/>
      <c r="J200" s="10"/>
      <c r="K200" s="10"/>
      <c r="L200" s="10"/>
      <c r="M200" s="51"/>
    </row>
    <row r="201" spans="1:13" s="14" customFormat="1" x14ac:dyDescent="0.2">
      <c r="A201"/>
      <c r="B201"/>
      <c r="C201"/>
      <c r="D201"/>
      <c r="E201" s="7"/>
      <c r="F201"/>
      <c r="G201"/>
      <c r="H201" s="10"/>
      <c r="I201" s="10"/>
      <c r="J201" s="10"/>
      <c r="K201" s="10"/>
      <c r="L201" s="10"/>
      <c r="M201" s="51"/>
    </row>
    <row r="202" spans="1:13" s="14" customFormat="1" x14ac:dyDescent="0.2">
      <c r="A202"/>
      <c r="B202"/>
      <c r="C202"/>
      <c r="D202"/>
      <c r="E202" s="7"/>
      <c r="F202"/>
      <c r="G202"/>
      <c r="H202" s="10"/>
      <c r="I202" s="10"/>
      <c r="J202" s="10"/>
      <c r="K202" s="10"/>
      <c r="L202" s="10"/>
      <c r="M202" s="51"/>
    </row>
    <row r="203" spans="1:13" s="14" customFormat="1" x14ac:dyDescent="0.2">
      <c r="A203"/>
      <c r="B203"/>
      <c r="C203"/>
      <c r="D203"/>
      <c r="E203" s="7"/>
      <c r="F203"/>
      <c r="G203"/>
      <c r="H203" s="10"/>
      <c r="I203" s="10"/>
      <c r="J203" s="10"/>
      <c r="K203" s="10"/>
      <c r="L203" s="10"/>
      <c r="M203" s="51"/>
    </row>
    <row r="204" spans="1:13" s="14" customFormat="1" x14ac:dyDescent="0.2">
      <c r="A204"/>
      <c r="B204"/>
      <c r="C204"/>
      <c r="D204"/>
      <c r="E204" s="7"/>
      <c r="F204"/>
      <c r="G204"/>
      <c r="H204" s="10"/>
      <c r="I204" s="10"/>
      <c r="J204" s="10"/>
      <c r="K204" s="10"/>
      <c r="L204" s="10"/>
      <c r="M204" s="51"/>
    </row>
    <row r="205" spans="1:13" s="14" customFormat="1" x14ac:dyDescent="0.2">
      <c r="A205"/>
      <c r="B205"/>
      <c r="C205"/>
      <c r="D205"/>
      <c r="E205" s="7"/>
      <c r="F205"/>
      <c r="G205"/>
      <c r="H205" s="10"/>
      <c r="I205" s="10"/>
      <c r="J205" s="10"/>
      <c r="K205" s="10"/>
      <c r="L205" s="10"/>
      <c r="M205" s="51"/>
    </row>
    <row r="206" spans="1:13" s="14" customFormat="1" x14ac:dyDescent="0.2">
      <c r="A206"/>
      <c r="B206"/>
      <c r="C206"/>
      <c r="D206"/>
      <c r="E206" s="7"/>
      <c r="F206"/>
      <c r="G206"/>
      <c r="H206" s="10"/>
      <c r="I206" s="10"/>
      <c r="J206" s="10"/>
      <c r="K206" s="10"/>
      <c r="L206" s="10"/>
      <c r="M206" s="51"/>
    </row>
  </sheetData>
  <autoFilter ref="A1:M206"/>
  <pageMargins left="0.75" right="0.75" top="1" bottom="1" header="0.5" footer="0.5"/>
  <pageSetup scale="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237"/>
  <sheetViews>
    <sheetView zoomScale="120" zoomScaleNormal="120" workbookViewId="0">
      <pane ySplit="1" topLeftCell="A50" activePane="bottomLeft" state="frozen"/>
      <selection activeCell="L2" sqref="L2"/>
      <selection pane="bottomLeft" activeCell="C70" sqref="C70:C73"/>
    </sheetView>
  </sheetViews>
  <sheetFormatPr defaultColWidth="9.140625" defaultRowHeight="12.75" x14ac:dyDescent="0.2"/>
  <cols>
    <col min="1" max="1" width="10.140625" style="3" customWidth="1"/>
    <col min="2" max="2" width="25.7109375" style="3" customWidth="1"/>
    <col min="3" max="3" width="9.85546875" style="3" bestFit="1" customWidth="1"/>
    <col min="4" max="4" width="13.7109375" style="3" customWidth="1"/>
    <col min="5" max="5" width="11.42578125" style="8" customWidth="1"/>
    <col min="6" max="7" width="8" style="3" customWidth="1"/>
    <col min="8" max="8" width="8" style="11" customWidth="1"/>
    <col min="9" max="9" width="10.5703125" style="11" customWidth="1"/>
    <col min="10" max="10" width="15.28515625" style="11" customWidth="1"/>
    <col min="11" max="11" width="9.140625" style="11" customWidth="1"/>
    <col min="12" max="12" width="8" style="11" customWidth="1"/>
    <col min="13" max="13" width="116.28515625" style="82" customWidth="1"/>
    <col min="14" max="14" width="27.85546875" style="14" bestFit="1" customWidth="1"/>
    <col min="15" max="16384" width="9.140625" style="3"/>
  </cols>
  <sheetData>
    <row r="1" spans="1:14" s="1" customFormat="1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1" t="s">
        <v>5</v>
      </c>
      <c r="G1" s="1" t="s">
        <v>6</v>
      </c>
      <c r="H1" s="9" t="s">
        <v>7</v>
      </c>
      <c r="I1" s="30" t="s">
        <v>8</v>
      </c>
      <c r="J1" s="30" t="s">
        <v>9</v>
      </c>
      <c r="K1" s="16" t="s">
        <v>10</v>
      </c>
      <c r="L1" s="16" t="s">
        <v>11</v>
      </c>
      <c r="M1" s="77" t="s">
        <v>12</v>
      </c>
      <c r="N1" s="13"/>
    </row>
    <row r="2" spans="1:14" x14ac:dyDescent="0.2">
      <c r="A2" s="18" t="s">
        <v>113</v>
      </c>
      <c r="B2" t="s">
        <v>82</v>
      </c>
      <c r="C2" s="5">
        <v>43724</v>
      </c>
      <c r="D2" s="2" t="s">
        <v>58</v>
      </c>
      <c r="E2" s="7">
        <v>14772</v>
      </c>
      <c r="F2" s="20">
        <v>156526</v>
      </c>
      <c r="G2" s="20">
        <v>516431</v>
      </c>
      <c r="H2" s="19">
        <f>-0.3407-0.565</f>
        <v>-0.90569999999999995</v>
      </c>
      <c r="I2" s="10"/>
      <c r="J2" s="10"/>
      <c r="K2" s="10"/>
      <c r="L2" s="47">
        <v>-890</v>
      </c>
      <c r="M2" s="78" t="s">
        <v>114</v>
      </c>
      <c r="N2" s="29"/>
    </row>
    <row r="3" spans="1:14" x14ac:dyDescent="0.2">
      <c r="A3" s="18" t="s">
        <v>113</v>
      </c>
      <c r="B3" t="s">
        <v>82</v>
      </c>
      <c r="C3" s="5">
        <v>43724</v>
      </c>
      <c r="D3" s="2" t="s">
        <v>46</v>
      </c>
      <c r="E3" s="7">
        <v>13390037</v>
      </c>
      <c r="F3" s="20">
        <v>156526</v>
      </c>
      <c r="G3" s="20">
        <v>516431</v>
      </c>
      <c r="H3" s="37">
        <f>-0.8918-0.09</f>
        <v>-0.98180000000000001</v>
      </c>
      <c r="I3" s="10"/>
      <c r="J3" s="10"/>
      <c r="K3" s="10"/>
      <c r="L3" s="10"/>
      <c r="M3" s="79" t="s">
        <v>47</v>
      </c>
    </row>
    <row r="4" spans="1:14" x14ac:dyDescent="0.2">
      <c r="A4" s="18" t="s">
        <v>113</v>
      </c>
      <c r="B4" t="s">
        <v>82</v>
      </c>
      <c r="C4" s="5">
        <v>43724</v>
      </c>
      <c r="D4" s="2" t="s">
        <v>23</v>
      </c>
      <c r="E4" s="7"/>
      <c r="F4"/>
      <c r="G4"/>
      <c r="H4" s="37">
        <v>-1.7214</v>
      </c>
      <c r="I4" s="10"/>
      <c r="J4" s="10"/>
      <c r="K4" s="10"/>
      <c r="L4" s="10"/>
      <c r="M4" s="51"/>
    </row>
    <row r="5" spans="1:14" x14ac:dyDescent="0.2">
      <c r="A5" s="18" t="s">
        <v>113</v>
      </c>
      <c r="B5" t="s">
        <v>82</v>
      </c>
      <c r="C5" s="5">
        <v>43724</v>
      </c>
      <c r="D5" s="2" t="s">
        <v>21</v>
      </c>
      <c r="E5" s="7"/>
      <c r="F5" s="3">
        <v>156528</v>
      </c>
      <c r="G5">
        <v>516432</v>
      </c>
      <c r="H5" s="37"/>
      <c r="I5" s="10"/>
      <c r="J5" s="10"/>
      <c r="K5" s="10"/>
      <c r="L5" s="10"/>
      <c r="M5" s="51" t="s">
        <v>115</v>
      </c>
    </row>
    <row r="6" spans="1:14" x14ac:dyDescent="0.2">
      <c r="A6" s="18" t="s">
        <v>113</v>
      </c>
      <c r="B6" t="s">
        <v>82</v>
      </c>
      <c r="C6" s="5">
        <v>43746</v>
      </c>
      <c r="D6" s="2" t="s">
        <v>58</v>
      </c>
      <c r="E6" s="7">
        <v>14772</v>
      </c>
      <c r="F6"/>
      <c r="G6"/>
      <c r="H6" s="19">
        <f>-0.3407-0.565</f>
        <v>-0.90569999999999995</v>
      </c>
      <c r="I6" s="10"/>
      <c r="J6" s="10"/>
      <c r="K6" s="10"/>
      <c r="L6" s="47">
        <v>-890</v>
      </c>
      <c r="M6" s="51"/>
    </row>
    <row r="7" spans="1:14" x14ac:dyDescent="0.2">
      <c r="A7" s="18" t="s">
        <v>113</v>
      </c>
      <c r="B7" t="s">
        <v>82</v>
      </c>
      <c r="C7" s="5">
        <v>43746</v>
      </c>
      <c r="D7" s="2" t="s">
        <v>46</v>
      </c>
      <c r="E7" s="7">
        <v>13390037</v>
      </c>
      <c r="F7"/>
      <c r="G7"/>
      <c r="H7" s="37">
        <f>-0.9225-0.09</f>
        <v>-1.0125</v>
      </c>
      <c r="I7" s="10"/>
      <c r="J7" s="10"/>
      <c r="K7" s="10"/>
      <c r="L7" s="10"/>
      <c r="M7" s="51"/>
    </row>
    <row r="8" spans="1:14" x14ac:dyDescent="0.2">
      <c r="A8" s="18" t="s">
        <v>113</v>
      </c>
      <c r="B8" t="s">
        <v>82</v>
      </c>
      <c r="C8" s="5">
        <v>43746</v>
      </c>
      <c r="D8" s="2" t="s">
        <v>23</v>
      </c>
      <c r="E8" s="7"/>
      <c r="F8"/>
      <c r="G8"/>
      <c r="H8" s="37">
        <v>-1.7302</v>
      </c>
      <c r="I8" s="10"/>
      <c r="J8" s="10"/>
      <c r="K8" s="10"/>
      <c r="L8" s="10"/>
      <c r="M8" s="51"/>
    </row>
    <row r="9" spans="1:14" x14ac:dyDescent="0.2">
      <c r="A9" s="18" t="s">
        <v>113</v>
      </c>
      <c r="B9" t="s">
        <v>82</v>
      </c>
      <c r="C9" s="5">
        <v>43746</v>
      </c>
      <c r="D9" s="2" t="s">
        <v>21</v>
      </c>
      <c r="E9" s="7"/>
      <c r="F9" s="3">
        <v>156528</v>
      </c>
      <c r="G9">
        <v>516432</v>
      </c>
      <c r="H9" s="37">
        <v>2.0278</v>
      </c>
      <c r="I9" s="10"/>
      <c r="J9" s="10"/>
      <c r="K9" s="10"/>
      <c r="L9" s="10"/>
      <c r="M9" s="51"/>
    </row>
    <row r="10" spans="1:14" x14ac:dyDescent="0.2">
      <c r="A10" s="18" t="s">
        <v>113</v>
      </c>
      <c r="B10" t="s">
        <v>82</v>
      </c>
      <c r="C10" s="5">
        <v>43774</v>
      </c>
      <c r="D10" s="2" t="s">
        <v>58</v>
      </c>
      <c r="E10" s="7">
        <v>14772</v>
      </c>
      <c r="F10"/>
      <c r="G10"/>
      <c r="H10" s="53">
        <f>-0.2988-0.565</f>
        <v>-0.8637999999999999</v>
      </c>
      <c r="I10" s="10"/>
      <c r="J10" s="10"/>
      <c r="K10" s="10"/>
      <c r="L10" s="93">
        <f>-(890-26+5)</f>
        <v>-869</v>
      </c>
      <c r="M10" s="45">
        <f>-0.2988-0.565</f>
        <v>-0.8637999999999999</v>
      </c>
    </row>
    <row r="11" spans="1:14" x14ac:dyDescent="0.2">
      <c r="A11" s="18" t="s">
        <v>113</v>
      </c>
      <c r="B11" t="s">
        <v>82</v>
      </c>
      <c r="C11" s="5">
        <v>43774</v>
      </c>
      <c r="D11" s="2" t="s">
        <v>46</v>
      </c>
      <c r="E11" s="7">
        <v>13390037</v>
      </c>
      <c r="F11"/>
      <c r="G11"/>
      <c r="H11" s="37">
        <f>-0.83-0.09</f>
        <v>-0.91999999999999993</v>
      </c>
      <c r="I11" s="10"/>
      <c r="J11" s="10"/>
      <c r="K11" s="10"/>
      <c r="L11" s="10"/>
      <c r="M11" s="46">
        <f>-0.83-0.09</f>
        <v>-0.91999999999999993</v>
      </c>
    </row>
    <row r="12" spans="1:14" x14ac:dyDescent="0.2">
      <c r="A12" s="18" t="s">
        <v>113</v>
      </c>
      <c r="B12" t="s">
        <v>82</v>
      </c>
      <c r="C12" s="5">
        <v>43774</v>
      </c>
      <c r="D12" s="2" t="s">
        <v>23</v>
      </c>
      <c r="E12" s="7"/>
      <c r="F12"/>
      <c r="G12"/>
      <c r="H12" s="37">
        <v>-1.6787000000000001</v>
      </c>
      <c r="I12" s="10"/>
      <c r="J12" s="10"/>
      <c r="K12" s="10"/>
      <c r="L12" s="10"/>
      <c r="M12" s="46">
        <v>-1.6787000000000001</v>
      </c>
    </row>
    <row r="13" spans="1:14" s="14" customFormat="1" x14ac:dyDescent="0.2">
      <c r="A13" s="18" t="s">
        <v>113</v>
      </c>
      <c r="B13" t="s">
        <v>82</v>
      </c>
      <c r="C13" s="5">
        <v>43774</v>
      </c>
      <c r="D13" s="2" t="s">
        <v>21</v>
      </c>
      <c r="E13" s="7"/>
      <c r="F13" s="3">
        <v>156528</v>
      </c>
      <c r="G13">
        <v>516432</v>
      </c>
      <c r="H13" s="37">
        <v>2.0230999999999999</v>
      </c>
      <c r="I13" s="10"/>
      <c r="J13" s="10"/>
      <c r="K13" s="10"/>
      <c r="L13" s="10"/>
      <c r="M13" s="46">
        <v>2.0230999999999999</v>
      </c>
    </row>
    <row r="14" spans="1:14" s="14" customFormat="1" x14ac:dyDescent="0.2">
      <c r="A14" s="18" t="s">
        <v>113</v>
      </c>
      <c r="B14" t="s">
        <v>82</v>
      </c>
      <c r="C14" s="5">
        <v>43801</v>
      </c>
      <c r="D14" s="2" t="s">
        <v>58</v>
      </c>
      <c r="E14" s="7">
        <v>14772</v>
      </c>
      <c r="F14"/>
      <c r="G14"/>
      <c r="H14" s="53">
        <f>-0.3731-0.565</f>
        <v>-0.93809999999999993</v>
      </c>
      <c r="I14" s="10"/>
      <c r="J14" s="10"/>
      <c r="K14" s="10"/>
      <c r="L14" s="98">
        <f>-(890-26+5)</f>
        <v>-869</v>
      </c>
      <c r="M14" s="52" t="s">
        <v>116</v>
      </c>
    </row>
    <row r="15" spans="1:14" s="14" customFormat="1" x14ac:dyDescent="0.2">
      <c r="A15" s="18" t="s">
        <v>113</v>
      </c>
      <c r="B15" t="s">
        <v>82</v>
      </c>
      <c r="C15" s="5">
        <v>43801</v>
      </c>
      <c r="D15" s="2" t="s">
        <v>46</v>
      </c>
      <c r="E15" s="7">
        <v>13390037</v>
      </c>
      <c r="F15"/>
      <c r="G15"/>
      <c r="H15" s="37">
        <f>-0.9873-0.1</f>
        <v>-1.0872999999999999</v>
      </c>
      <c r="I15" s="10"/>
      <c r="J15" s="10"/>
      <c r="K15" s="10"/>
      <c r="L15" s="19"/>
      <c r="M15" s="92" t="s">
        <v>117</v>
      </c>
    </row>
    <row r="16" spans="1:14" s="14" customFormat="1" x14ac:dyDescent="0.2">
      <c r="A16" s="18" t="s">
        <v>113</v>
      </c>
      <c r="B16" t="s">
        <v>82</v>
      </c>
      <c r="C16" s="5">
        <v>43801</v>
      </c>
      <c r="D16" s="2" t="s">
        <v>23</v>
      </c>
      <c r="E16" s="7"/>
      <c r="F16"/>
      <c r="G16"/>
      <c r="H16" s="37">
        <v>-1.6787000000000001</v>
      </c>
      <c r="I16" s="10"/>
      <c r="J16" s="10"/>
      <c r="K16" s="10"/>
      <c r="L16" s="19"/>
      <c r="M16" s="79">
        <v>-1.6709000000000001</v>
      </c>
    </row>
    <row r="17" spans="1:13" s="14" customFormat="1" x14ac:dyDescent="0.2">
      <c r="A17" s="18" t="s">
        <v>113</v>
      </c>
      <c r="B17" t="s">
        <v>82</v>
      </c>
      <c r="C17" s="5">
        <v>43801</v>
      </c>
      <c r="D17" s="2" t="s">
        <v>21</v>
      </c>
      <c r="E17" s="7"/>
      <c r="F17" s="3">
        <v>156528</v>
      </c>
      <c r="G17">
        <v>516432</v>
      </c>
      <c r="H17" s="37">
        <v>2.0230999999999999</v>
      </c>
      <c r="I17" s="10"/>
      <c r="J17" s="10"/>
      <c r="K17" s="10"/>
      <c r="L17" s="19"/>
      <c r="M17" s="79">
        <v>2.0346000000000002</v>
      </c>
    </row>
    <row r="18" spans="1:13" s="14" customFormat="1" x14ac:dyDescent="0.2">
      <c r="A18" s="18" t="s">
        <v>113</v>
      </c>
      <c r="B18" t="s">
        <v>82</v>
      </c>
      <c r="C18" s="5">
        <v>43837</v>
      </c>
      <c r="D18" s="2" t="s">
        <v>58</v>
      </c>
      <c r="E18" s="7">
        <v>14772</v>
      </c>
      <c r="F18"/>
      <c r="G18"/>
      <c r="H18" s="53">
        <v>-0.91679999999999995</v>
      </c>
      <c r="I18" s="10"/>
      <c r="J18" s="10"/>
      <c r="K18" s="10"/>
      <c r="L18" s="98">
        <f>-(890-26+5)</f>
        <v>-869</v>
      </c>
      <c r="M18" s="45">
        <f>-0.3518-0.565</f>
        <v>-0.91679999999999995</v>
      </c>
    </row>
    <row r="19" spans="1:13" s="14" customFormat="1" x14ac:dyDescent="0.2">
      <c r="A19" s="18" t="s">
        <v>113</v>
      </c>
      <c r="B19" t="s">
        <v>82</v>
      </c>
      <c r="C19" s="5">
        <v>43837</v>
      </c>
      <c r="D19" s="2" t="s">
        <v>46</v>
      </c>
      <c r="E19" s="7">
        <v>13390037</v>
      </c>
      <c r="F19"/>
      <c r="G19"/>
      <c r="H19" s="37">
        <v>-1.0345</v>
      </c>
      <c r="I19" s="10"/>
      <c r="J19" s="10"/>
      <c r="K19" s="10"/>
      <c r="L19" s="10"/>
      <c r="M19" s="46">
        <f>-0.9445-0.09</f>
        <v>-1.0345</v>
      </c>
    </row>
    <row r="20" spans="1:13" s="14" customFormat="1" x14ac:dyDescent="0.2">
      <c r="A20" s="18" t="s">
        <v>113</v>
      </c>
      <c r="B20" t="s">
        <v>82</v>
      </c>
      <c r="C20" s="5">
        <v>43837</v>
      </c>
      <c r="D20" s="2" t="s">
        <v>23</v>
      </c>
      <c r="E20" s="7"/>
      <c r="F20"/>
      <c r="G20"/>
      <c r="H20" s="37">
        <v>-1.6623000000000001</v>
      </c>
      <c r="I20" s="10"/>
      <c r="J20" s="10"/>
      <c r="K20" s="10"/>
      <c r="L20" s="10"/>
      <c r="M20" s="46">
        <v>-1.6623000000000001</v>
      </c>
    </row>
    <row r="21" spans="1:13" s="14" customFormat="1" x14ac:dyDescent="0.2">
      <c r="A21" s="18" t="s">
        <v>113</v>
      </c>
      <c r="B21" t="s">
        <v>82</v>
      </c>
      <c r="C21" s="5">
        <v>43837</v>
      </c>
      <c r="D21" s="2" t="s">
        <v>21</v>
      </c>
      <c r="E21" s="7"/>
      <c r="F21" s="3">
        <v>156528</v>
      </c>
      <c r="G21">
        <v>516432</v>
      </c>
      <c r="H21" s="37">
        <v>2.0144000000000002</v>
      </c>
      <c r="I21" s="10"/>
      <c r="J21" s="10"/>
      <c r="K21" s="10"/>
      <c r="L21" s="10"/>
      <c r="M21" s="46">
        <v>2.0144000000000002</v>
      </c>
    </row>
    <row r="22" spans="1:13" s="14" customFormat="1" x14ac:dyDescent="0.2">
      <c r="A22" s="18" t="s">
        <v>113</v>
      </c>
      <c r="B22" t="s">
        <v>82</v>
      </c>
      <c r="C22" s="5">
        <v>43887</v>
      </c>
      <c r="D22" s="2" t="s">
        <v>58</v>
      </c>
      <c r="E22" s="7">
        <v>14772</v>
      </c>
      <c r="F22"/>
      <c r="G22"/>
      <c r="H22" s="53">
        <v>-0.91679999999999995</v>
      </c>
      <c r="I22" s="10"/>
      <c r="J22" s="10"/>
      <c r="K22" s="10"/>
      <c r="L22" s="98">
        <f>-(890-26+5)</f>
        <v>-869</v>
      </c>
      <c r="M22" s="45">
        <f>-0.3463-0.565</f>
        <v>-0.9113</v>
      </c>
    </row>
    <row r="23" spans="1:13" s="14" customFormat="1" x14ac:dyDescent="0.2">
      <c r="A23" s="18" t="s">
        <v>113</v>
      </c>
      <c r="B23" t="s">
        <v>82</v>
      </c>
      <c r="C23" s="5">
        <v>43887</v>
      </c>
      <c r="D23" s="2" t="s">
        <v>46</v>
      </c>
      <c r="E23" s="7">
        <v>13390037</v>
      </c>
      <c r="F23"/>
      <c r="G23"/>
      <c r="H23" s="37">
        <v>-1.0345</v>
      </c>
      <c r="I23" s="10"/>
      <c r="J23" s="10"/>
      <c r="K23" s="10"/>
      <c r="L23" s="10"/>
      <c r="M23" s="49" t="s">
        <v>80</v>
      </c>
    </row>
    <row r="24" spans="1:13" s="14" customFormat="1" x14ac:dyDescent="0.2">
      <c r="A24" s="18" t="s">
        <v>113</v>
      </c>
      <c r="B24" t="s">
        <v>82</v>
      </c>
      <c r="C24" s="5">
        <v>43887</v>
      </c>
      <c r="D24" s="2" t="s">
        <v>23</v>
      </c>
      <c r="E24" s="7"/>
      <c r="F24"/>
      <c r="G24"/>
      <c r="H24" s="37">
        <v>-1.7717000000000001</v>
      </c>
      <c r="I24" s="10"/>
      <c r="J24" s="10"/>
      <c r="K24" s="10"/>
      <c r="L24" s="10"/>
      <c r="M24" s="46">
        <v>-1.7717000000000001</v>
      </c>
    </row>
    <row r="25" spans="1:13" s="14" customFormat="1" x14ac:dyDescent="0.2">
      <c r="A25" s="18" t="s">
        <v>113</v>
      </c>
      <c r="B25" t="s">
        <v>82</v>
      </c>
      <c r="C25" s="5">
        <v>43887</v>
      </c>
      <c r="D25" s="2" t="s">
        <v>21</v>
      </c>
      <c r="E25" s="7"/>
      <c r="F25" s="3">
        <v>156528</v>
      </c>
      <c r="G25">
        <v>516432</v>
      </c>
      <c r="H25" s="37">
        <v>2.0072999999999999</v>
      </c>
      <c r="I25" s="10"/>
      <c r="J25" s="10"/>
      <c r="K25" s="10"/>
      <c r="L25" s="10"/>
      <c r="M25" s="46">
        <v>2.0072999999999999</v>
      </c>
    </row>
    <row r="26" spans="1:13" s="14" customFormat="1" x14ac:dyDescent="0.2">
      <c r="A26" s="18" t="s">
        <v>113</v>
      </c>
      <c r="B26" t="s">
        <v>82</v>
      </c>
      <c r="C26" s="5">
        <v>43913</v>
      </c>
      <c r="D26" s="2" t="s">
        <v>58</v>
      </c>
      <c r="E26" s="7">
        <v>14772</v>
      </c>
      <c r="F26"/>
      <c r="G26"/>
      <c r="H26" s="53">
        <v>-0.91679999999999995</v>
      </c>
      <c r="I26" s="10"/>
      <c r="J26" s="10"/>
      <c r="K26" s="10"/>
      <c r="L26" s="98">
        <f>-(890-26+5)</f>
        <v>-869</v>
      </c>
      <c r="M26" s="106" t="s">
        <v>118</v>
      </c>
    </row>
    <row r="27" spans="1:13" s="14" customFormat="1" x14ac:dyDescent="0.2">
      <c r="A27" s="18" t="s">
        <v>113</v>
      </c>
      <c r="B27" t="s">
        <v>82</v>
      </c>
      <c r="C27" s="5">
        <v>43913</v>
      </c>
      <c r="D27" s="2" t="s">
        <v>46</v>
      </c>
      <c r="E27" s="7">
        <v>13390037</v>
      </c>
      <c r="F27"/>
      <c r="G27"/>
      <c r="H27" s="37">
        <f>-0.9999-0.09</f>
        <v>-1.0899000000000001</v>
      </c>
      <c r="I27" s="10"/>
      <c r="J27" s="10"/>
      <c r="K27" s="10"/>
      <c r="L27" s="10"/>
      <c r="M27" s="46">
        <f>-0.9999-0.09</f>
        <v>-1.0899000000000001</v>
      </c>
    </row>
    <row r="28" spans="1:13" s="14" customFormat="1" x14ac:dyDescent="0.2">
      <c r="A28" s="18" t="s">
        <v>113</v>
      </c>
      <c r="B28" t="s">
        <v>82</v>
      </c>
      <c r="C28" s="5">
        <v>43913</v>
      </c>
      <c r="D28" s="2" t="s">
        <v>23</v>
      </c>
      <c r="E28" s="7"/>
      <c r="F28"/>
      <c r="G28"/>
      <c r="H28" s="37">
        <v>-1.7324999999999999</v>
      </c>
      <c r="I28" s="10"/>
      <c r="J28" s="10"/>
      <c r="K28" s="10"/>
      <c r="L28" s="10"/>
      <c r="M28" s="46">
        <v>-1.7324999999999999</v>
      </c>
    </row>
    <row r="29" spans="1:13" x14ac:dyDescent="0.2">
      <c r="A29" s="18" t="s">
        <v>113</v>
      </c>
      <c r="B29" t="s">
        <v>82</v>
      </c>
      <c r="C29" s="5">
        <v>43913</v>
      </c>
      <c r="D29" s="2" t="s">
        <v>21</v>
      </c>
      <c r="E29" s="7"/>
      <c r="F29" s="3">
        <v>156528</v>
      </c>
      <c r="G29">
        <v>516432</v>
      </c>
      <c r="H29" s="37">
        <v>1.9797</v>
      </c>
      <c r="I29" s="10"/>
      <c r="J29" s="10"/>
      <c r="K29" s="10"/>
      <c r="L29" s="10"/>
      <c r="M29" s="46">
        <v>1.9797</v>
      </c>
    </row>
    <row r="30" spans="1:13" s="14" customFormat="1" x14ac:dyDescent="0.2">
      <c r="A30" s="18" t="s">
        <v>113</v>
      </c>
      <c r="B30" t="s">
        <v>82</v>
      </c>
      <c r="C30" s="5">
        <v>43942</v>
      </c>
      <c r="D30" s="2" t="s">
        <v>58</v>
      </c>
      <c r="E30" s="7">
        <v>14772</v>
      </c>
      <c r="F30"/>
      <c r="G30"/>
      <c r="H30" s="53">
        <v>-0.91679999999999995</v>
      </c>
      <c r="I30" s="10"/>
      <c r="J30" s="10"/>
      <c r="K30" s="10"/>
      <c r="L30" s="98">
        <f>-(890-26+5)</f>
        <v>-869</v>
      </c>
      <c r="M30" s="106" t="s">
        <v>119</v>
      </c>
    </row>
    <row r="31" spans="1:13" s="14" customFormat="1" x14ac:dyDescent="0.2">
      <c r="A31" s="18" t="s">
        <v>113</v>
      </c>
      <c r="B31" t="s">
        <v>82</v>
      </c>
      <c r="C31" s="5">
        <v>43942</v>
      </c>
      <c r="D31" s="2" t="s">
        <v>46</v>
      </c>
      <c r="E31" s="7">
        <v>13390037</v>
      </c>
      <c r="F31"/>
      <c r="G31"/>
      <c r="H31" s="37">
        <v>-1.0815000000000001</v>
      </c>
      <c r="I31" s="10"/>
      <c r="J31" s="10"/>
      <c r="K31" s="10"/>
      <c r="L31" s="10"/>
      <c r="M31" s="46">
        <f>-0.9915-0.09</f>
        <v>-1.0815000000000001</v>
      </c>
    </row>
    <row r="32" spans="1:13" s="14" customFormat="1" x14ac:dyDescent="0.2">
      <c r="A32" s="18" t="s">
        <v>113</v>
      </c>
      <c r="B32" t="s">
        <v>82</v>
      </c>
      <c r="C32" s="5">
        <v>43942</v>
      </c>
      <c r="D32" s="2" t="s">
        <v>23</v>
      </c>
      <c r="E32" s="7"/>
      <c r="F32"/>
      <c r="G32"/>
      <c r="H32" s="37">
        <v>-1.7689999999999999</v>
      </c>
      <c r="I32" s="10"/>
      <c r="J32" s="10"/>
      <c r="K32" s="10"/>
      <c r="L32" s="10"/>
      <c r="M32" s="46">
        <v>-1.7689999999999999</v>
      </c>
    </row>
    <row r="33" spans="1:13" x14ac:dyDescent="0.2">
      <c r="A33" s="18" t="s">
        <v>113</v>
      </c>
      <c r="B33" t="s">
        <v>82</v>
      </c>
      <c r="C33" s="5">
        <v>43942</v>
      </c>
      <c r="D33" s="2" t="s">
        <v>21</v>
      </c>
      <c r="E33" s="7"/>
      <c r="F33" s="3">
        <v>156528</v>
      </c>
      <c r="G33">
        <v>516432</v>
      </c>
      <c r="H33" s="37">
        <v>1.9797</v>
      </c>
      <c r="I33" s="10"/>
      <c r="J33" s="10"/>
      <c r="K33" s="10"/>
      <c r="L33" s="10"/>
      <c r="M33" s="46">
        <v>1.9771000000000001</v>
      </c>
    </row>
    <row r="34" spans="1:13" x14ac:dyDescent="0.2">
      <c r="A34" s="18" t="s">
        <v>113</v>
      </c>
      <c r="B34" t="s">
        <v>82</v>
      </c>
      <c r="C34" s="5">
        <v>43971</v>
      </c>
      <c r="D34" s="2" t="s">
        <v>58</v>
      </c>
      <c r="E34" s="7">
        <v>14772</v>
      </c>
      <c r="F34"/>
      <c r="G34"/>
      <c r="H34" s="53">
        <v>-0.91679999999999995</v>
      </c>
      <c r="I34" s="10"/>
      <c r="J34" s="10"/>
      <c r="K34" s="10"/>
      <c r="L34" s="98">
        <f>-(890-26+5)</f>
        <v>-869</v>
      </c>
      <c r="M34" s="51">
        <f>-0.3641-0.565</f>
        <v>-0.92909999999999993</v>
      </c>
    </row>
    <row r="35" spans="1:13" x14ac:dyDescent="0.2">
      <c r="A35" s="18" t="s">
        <v>113</v>
      </c>
      <c r="B35" t="s">
        <v>82</v>
      </c>
      <c r="C35" s="5">
        <v>43971</v>
      </c>
      <c r="D35" s="2" t="s">
        <v>46</v>
      </c>
      <c r="E35" s="7">
        <v>13390037</v>
      </c>
      <c r="F35"/>
      <c r="G35"/>
      <c r="H35" s="37">
        <v>-1.0815000000000001</v>
      </c>
      <c r="I35" s="10"/>
      <c r="J35" s="10"/>
      <c r="K35" s="10"/>
      <c r="L35" s="10"/>
      <c r="M35" s="46">
        <f>-0.9764-0.1</f>
        <v>-1.0764</v>
      </c>
    </row>
    <row r="36" spans="1:13" x14ac:dyDescent="0.2">
      <c r="A36" s="18" t="s">
        <v>113</v>
      </c>
      <c r="B36" t="s">
        <v>82</v>
      </c>
      <c r="C36" s="5">
        <v>43971</v>
      </c>
      <c r="D36" s="2" t="s">
        <v>23</v>
      </c>
      <c r="E36" s="7"/>
      <c r="F36"/>
      <c r="G36"/>
      <c r="H36" s="37">
        <v>-1.819</v>
      </c>
      <c r="I36" s="10"/>
      <c r="J36" s="10"/>
      <c r="K36" s="10"/>
      <c r="L36" s="10"/>
      <c r="M36" s="46">
        <v>-1.819</v>
      </c>
    </row>
    <row r="37" spans="1:13" x14ac:dyDescent="0.2">
      <c r="A37" s="18" t="s">
        <v>113</v>
      </c>
      <c r="B37" t="s">
        <v>82</v>
      </c>
      <c r="C37" s="5">
        <v>43971</v>
      </c>
      <c r="D37" s="2" t="s">
        <v>21</v>
      </c>
      <c r="E37" s="7"/>
      <c r="F37" s="3">
        <v>156528</v>
      </c>
      <c r="G37">
        <v>516432</v>
      </c>
      <c r="H37" s="37">
        <v>1.9797</v>
      </c>
      <c r="I37" s="10"/>
      <c r="J37" s="10"/>
      <c r="K37" s="10"/>
      <c r="L37" s="10"/>
      <c r="M37" s="46">
        <v>1.9767999999999999</v>
      </c>
    </row>
    <row r="38" spans="1:13" x14ac:dyDescent="0.2">
      <c r="A38" s="18" t="s">
        <v>113</v>
      </c>
      <c r="B38" t="s">
        <v>82</v>
      </c>
      <c r="C38" s="5">
        <v>43999</v>
      </c>
      <c r="D38" s="2" t="s">
        <v>58</v>
      </c>
      <c r="E38" s="7">
        <v>14772</v>
      </c>
      <c r="F38"/>
      <c r="G38"/>
      <c r="H38" s="53">
        <v>-0.91679999999999995</v>
      </c>
      <c r="I38" s="10"/>
      <c r="J38" s="10"/>
      <c r="K38" s="10"/>
      <c r="L38" s="98">
        <f>-(890-26+5)</f>
        <v>-869</v>
      </c>
      <c r="M38" s="51">
        <f>-0.3641-0.565+0.0293</f>
        <v>-0.89979999999999993</v>
      </c>
    </row>
    <row r="39" spans="1:13" x14ac:dyDescent="0.2">
      <c r="A39" s="18" t="s">
        <v>113</v>
      </c>
      <c r="B39" t="s">
        <v>82</v>
      </c>
      <c r="C39" s="5">
        <v>43999</v>
      </c>
      <c r="D39" s="2" t="s">
        <v>46</v>
      </c>
      <c r="E39" s="7">
        <v>13390037</v>
      </c>
      <c r="F39"/>
      <c r="G39"/>
      <c r="H39" s="37">
        <v>-1.0815000000000001</v>
      </c>
      <c r="I39" s="10"/>
      <c r="J39" s="10"/>
      <c r="K39" s="10"/>
      <c r="L39" s="10"/>
      <c r="M39" s="46">
        <f>-0.9764-0.1+0.0293</f>
        <v>-1.0470999999999999</v>
      </c>
    </row>
    <row r="40" spans="1:13" x14ac:dyDescent="0.2">
      <c r="A40" s="18" t="s">
        <v>113</v>
      </c>
      <c r="B40" t="s">
        <v>82</v>
      </c>
      <c r="C40" s="5">
        <v>43999</v>
      </c>
      <c r="D40" s="2" t="s">
        <v>23</v>
      </c>
      <c r="E40" s="7"/>
      <c r="F40"/>
      <c r="G40"/>
      <c r="H40" s="37">
        <v>-1.8508</v>
      </c>
      <c r="I40" s="10"/>
      <c r="J40" s="10"/>
      <c r="K40" s="10"/>
      <c r="L40" s="10"/>
      <c r="M40" s="46">
        <v>-1.8508</v>
      </c>
    </row>
    <row r="41" spans="1:13" x14ac:dyDescent="0.2">
      <c r="A41" s="18" t="s">
        <v>113</v>
      </c>
      <c r="B41" t="s">
        <v>82</v>
      </c>
      <c r="C41" s="5">
        <v>43999</v>
      </c>
      <c r="D41" s="2" t="s">
        <v>21</v>
      </c>
      <c r="E41" s="7"/>
      <c r="F41" s="3">
        <v>156528</v>
      </c>
      <c r="G41">
        <v>516432</v>
      </c>
      <c r="H41" s="37">
        <v>1.9535</v>
      </c>
      <c r="I41" s="10"/>
      <c r="J41" s="10"/>
      <c r="K41" s="10"/>
      <c r="L41" s="10"/>
      <c r="M41" s="46">
        <v>1.9535</v>
      </c>
    </row>
    <row r="42" spans="1:13" x14ac:dyDescent="0.2">
      <c r="A42" s="18" t="s">
        <v>113</v>
      </c>
      <c r="B42" t="s">
        <v>82</v>
      </c>
      <c r="C42" s="5">
        <v>44025</v>
      </c>
      <c r="D42" s="2" t="s">
        <v>58</v>
      </c>
      <c r="E42" s="7">
        <v>14772</v>
      </c>
      <c r="F42"/>
      <c r="G42"/>
      <c r="H42" s="53">
        <v>-0.95589999999999997</v>
      </c>
      <c r="I42" s="10"/>
      <c r="J42" s="10"/>
      <c r="K42" s="10"/>
      <c r="L42" s="98">
        <f>-(890-26+5)</f>
        <v>-869</v>
      </c>
      <c r="M42" s="51">
        <f>-0.3909-0.565</f>
        <v>-0.95589999999999997</v>
      </c>
    </row>
    <row r="43" spans="1:13" x14ac:dyDescent="0.2">
      <c r="A43" s="18" t="s">
        <v>113</v>
      </c>
      <c r="B43" t="s">
        <v>82</v>
      </c>
      <c r="C43" s="5">
        <v>44025</v>
      </c>
      <c r="D43" s="2" t="s">
        <v>46</v>
      </c>
      <c r="E43" s="7">
        <v>13390037</v>
      </c>
      <c r="F43"/>
      <c r="G43"/>
      <c r="H43" s="37">
        <v>-1.1073000000000002</v>
      </c>
      <c r="I43" s="10"/>
      <c r="J43" s="10"/>
      <c r="K43" s="10"/>
      <c r="L43" s="10"/>
      <c r="M43" s="46">
        <f>-1.0073-0.1</f>
        <v>-1.1073000000000002</v>
      </c>
    </row>
    <row r="44" spans="1:13" x14ac:dyDescent="0.2">
      <c r="A44" s="18" t="s">
        <v>113</v>
      </c>
      <c r="B44" t="s">
        <v>82</v>
      </c>
      <c r="C44" s="5">
        <v>44025</v>
      </c>
      <c r="D44" s="2" t="s">
        <v>23</v>
      </c>
      <c r="E44" s="7"/>
      <c r="F44"/>
      <c r="G44"/>
      <c r="H44" s="37">
        <v>-1.8451</v>
      </c>
      <c r="I44" s="10"/>
      <c r="J44" s="10"/>
      <c r="K44" s="10"/>
      <c r="L44" s="10"/>
      <c r="M44" s="46">
        <v>-1.8451</v>
      </c>
    </row>
    <row r="45" spans="1:13" s="14" customFormat="1" x14ac:dyDescent="0.2">
      <c r="A45" s="18" t="s">
        <v>113</v>
      </c>
      <c r="B45" t="s">
        <v>82</v>
      </c>
      <c r="C45" s="5">
        <v>44025</v>
      </c>
      <c r="D45" s="2" t="s">
        <v>21</v>
      </c>
      <c r="E45" s="7"/>
      <c r="F45" s="3">
        <v>156528</v>
      </c>
      <c r="G45">
        <v>516432</v>
      </c>
      <c r="H45" s="37">
        <v>1.9849000000000001</v>
      </c>
      <c r="I45" s="10"/>
      <c r="J45" s="10"/>
      <c r="K45" s="10"/>
      <c r="L45" s="10"/>
      <c r="M45" s="46">
        <v>1.9849000000000001</v>
      </c>
    </row>
    <row r="46" spans="1:13" s="14" customFormat="1" x14ac:dyDescent="0.2">
      <c r="A46" t="s">
        <v>113</v>
      </c>
      <c r="B46" t="s">
        <v>82</v>
      </c>
      <c r="C46" s="5">
        <v>44053</v>
      </c>
      <c r="D46" t="s">
        <v>58</v>
      </c>
      <c r="E46" s="7">
        <v>14772</v>
      </c>
      <c r="F46"/>
      <c r="G46"/>
      <c r="H46" s="53">
        <v>-0.95589999999999997</v>
      </c>
      <c r="I46" s="10"/>
      <c r="J46" s="10"/>
      <c r="K46" s="10"/>
      <c r="L46" s="98">
        <f>-(890-26+5)</f>
        <v>-869</v>
      </c>
      <c r="M46" s="51">
        <v>-0.95760000000000001</v>
      </c>
    </row>
    <row r="47" spans="1:13" s="14" customFormat="1" x14ac:dyDescent="0.2">
      <c r="A47" t="s">
        <v>113</v>
      </c>
      <c r="B47" t="s">
        <v>82</v>
      </c>
      <c r="C47" s="5">
        <v>44053</v>
      </c>
      <c r="D47" t="s">
        <v>46</v>
      </c>
      <c r="E47" s="7">
        <v>13390037</v>
      </c>
      <c r="F47"/>
      <c r="G47"/>
      <c r="H47" s="37">
        <v>-1.1073000000000002</v>
      </c>
      <c r="I47" s="10"/>
      <c r="J47" s="10"/>
      <c r="K47" s="10"/>
      <c r="L47" s="10"/>
      <c r="M47" s="51">
        <v>-1.0900000000000001</v>
      </c>
    </row>
    <row r="48" spans="1:13" s="14" customFormat="1" x14ac:dyDescent="0.2">
      <c r="A48" t="s">
        <v>113</v>
      </c>
      <c r="B48" t="s">
        <v>82</v>
      </c>
      <c r="C48" s="5">
        <v>44053</v>
      </c>
      <c r="D48" t="s">
        <v>23</v>
      </c>
      <c r="E48" s="7"/>
      <c r="F48"/>
      <c r="G48"/>
      <c r="H48" s="10">
        <v>-1.82</v>
      </c>
      <c r="I48" s="10"/>
      <c r="J48" s="10"/>
      <c r="K48" s="10"/>
      <c r="L48" s="10"/>
      <c r="M48" s="51">
        <v>-1.82</v>
      </c>
    </row>
    <row r="49" spans="1:13" s="14" customFormat="1" x14ac:dyDescent="0.2">
      <c r="A49" t="s">
        <v>113</v>
      </c>
      <c r="B49" t="s">
        <v>82</v>
      </c>
      <c r="C49" s="5">
        <v>44053</v>
      </c>
      <c r="D49" t="s">
        <v>21</v>
      </c>
      <c r="E49" s="7"/>
      <c r="F49">
        <v>156528</v>
      </c>
      <c r="G49">
        <v>516432</v>
      </c>
      <c r="H49" s="37">
        <v>1.9849000000000001</v>
      </c>
      <c r="I49" s="10"/>
      <c r="J49" s="10"/>
      <c r="K49" s="10"/>
      <c r="L49" s="10"/>
      <c r="M49" s="51">
        <v>1.96</v>
      </c>
    </row>
    <row r="50" spans="1:13" s="14" customFormat="1" x14ac:dyDescent="0.2">
      <c r="A50" t="s">
        <v>113</v>
      </c>
      <c r="B50" t="s">
        <v>82</v>
      </c>
      <c r="C50" s="5">
        <v>44081</v>
      </c>
      <c r="D50" t="s">
        <v>58</v>
      </c>
      <c r="E50" s="7">
        <v>14772</v>
      </c>
      <c r="F50"/>
      <c r="G50"/>
      <c r="H50" s="53">
        <v>-0.95589999999999997</v>
      </c>
      <c r="I50" s="10"/>
      <c r="J50" s="10"/>
      <c r="K50" s="10"/>
      <c r="L50" s="98">
        <f>-(890-26+5)</f>
        <v>-869</v>
      </c>
      <c r="M50" s="51">
        <f>-0.3926-0.565</f>
        <v>-0.95760000000000001</v>
      </c>
    </row>
    <row r="51" spans="1:13" s="14" customFormat="1" x14ac:dyDescent="0.2">
      <c r="A51" t="s">
        <v>113</v>
      </c>
      <c r="B51" t="s">
        <v>82</v>
      </c>
      <c r="C51" s="5">
        <v>44081</v>
      </c>
      <c r="D51" t="s">
        <v>46</v>
      </c>
      <c r="E51" s="7">
        <v>13390037</v>
      </c>
      <c r="F51"/>
      <c r="G51"/>
      <c r="H51" s="37">
        <v>-1.1073000000000002</v>
      </c>
      <c r="I51" s="10"/>
      <c r="J51" s="10"/>
      <c r="K51" s="10"/>
      <c r="L51" s="10"/>
      <c r="M51" s="51">
        <f>-0.9908-0.1</f>
        <v>-1.0908</v>
      </c>
    </row>
    <row r="52" spans="1:13" s="14" customFormat="1" x14ac:dyDescent="0.2">
      <c r="A52" t="s">
        <v>113</v>
      </c>
      <c r="B52" t="s">
        <v>82</v>
      </c>
      <c r="C52" s="5">
        <v>44081</v>
      </c>
      <c r="D52" t="s">
        <v>23</v>
      </c>
      <c r="E52" s="7"/>
      <c r="F52"/>
      <c r="G52"/>
      <c r="H52" s="37">
        <v>-1.8552</v>
      </c>
      <c r="I52" s="10"/>
      <c r="J52" s="10"/>
      <c r="K52" s="10"/>
      <c r="L52" s="10"/>
      <c r="M52" s="51">
        <v>-1.8552</v>
      </c>
    </row>
    <row r="53" spans="1:13" s="14" customFormat="1" x14ac:dyDescent="0.2">
      <c r="A53" t="s">
        <v>113</v>
      </c>
      <c r="B53" t="s">
        <v>82</v>
      </c>
      <c r="C53" s="5">
        <v>44081</v>
      </c>
      <c r="D53" t="s">
        <v>21</v>
      </c>
      <c r="E53" s="7"/>
      <c r="F53">
        <v>156528</v>
      </c>
      <c r="G53">
        <v>516432</v>
      </c>
      <c r="H53" s="37">
        <v>1.9849000000000001</v>
      </c>
      <c r="I53" s="10"/>
      <c r="J53" s="10"/>
      <c r="K53" s="10"/>
      <c r="L53" s="10"/>
      <c r="M53" s="51">
        <v>1.9746999999999999</v>
      </c>
    </row>
    <row r="54" spans="1:13" s="14" customFormat="1" x14ac:dyDescent="0.2">
      <c r="A54" t="s">
        <v>113</v>
      </c>
      <c r="B54" t="s">
        <v>82</v>
      </c>
      <c r="C54" s="5">
        <v>44139</v>
      </c>
      <c r="D54" t="s">
        <v>58</v>
      </c>
      <c r="E54" s="7">
        <v>14772</v>
      </c>
      <c r="F54"/>
      <c r="G54"/>
      <c r="H54" s="53">
        <v>-0.95589999999999997</v>
      </c>
      <c r="I54" s="10"/>
      <c r="J54" s="10"/>
      <c r="K54" s="10"/>
      <c r="L54" s="98">
        <f>-(890-26+5)</f>
        <v>-869</v>
      </c>
      <c r="M54" s="51">
        <f>-0.404-0.565</f>
        <v>-0.96899999999999997</v>
      </c>
    </row>
    <row r="55" spans="1:13" s="14" customFormat="1" x14ac:dyDescent="0.2">
      <c r="A55" t="s">
        <v>113</v>
      </c>
      <c r="B55" t="s">
        <v>82</v>
      </c>
      <c r="C55" s="5">
        <v>44139</v>
      </c>
      <c r="D55" t="s">
        <v>46</v>
      </c>
      <c r="E55" s="7">
        <v>13390037</v>
      </c>
      <c r="F55"/>
      <c r="G55"/>
      <c r="H55" s="37">
        <v>-1.1073000000000002</v>
      </c>
      <c r="I55" s="10"/>
      <c r="J55" s="10"/>
      <c r="K55" s="10"/>
      <c r="L55" s="10"/>
      <c r="M55" s="51">
        <f>-1.0017-0.1</f>
        <v>-1.1017000000000001</v>
      </c>
    </row>
    <row r="56" spans="1:13" s="14" customFormat="1" x14ac:dyDescent="0.2">
      <c r="A56" t="s">
        <v>113</v>
      </c>
      <c r="B56" t="s">
        <v>82</v>
      </c>
      <c r="C56" s="5">
        <v>44139</v>
      </c>
      <c r="D56" t="s">
        <v>23</v>
      </c>
      <c r="E56" s="7"/>
      <c r="F56"/>
      <c r="G56"/>
      <c r="H56" s="37">
        <v>-1.8089</v>
      </c>
      <c r="I56" s="10"/>
      <c r="J56" s="10"/>
      <c r="K56" s="10"/>
      <c r="L56" s="10"/>
      <c r="M56" s="51">
        <v>-1.8089</v>
      </c>
    </row>
    <row r="57" spans="1:13" s="14" customFormat="1" x14ac:dyDescent="0.2">
      <c r="A57" t="s">
        <v>113</v>
      </c>
      <c r="B57" t="s">
        <v>82</v>
      </c>
      <c r="C57" s="5">
        <v>44139</v>
      </c>
      <c r="D57" t="s">
        <v>21</v>
      </c>
      <c r="E57" s="7"/>
      <c r="F57">
        <v>156528</v>
      </c>
      <c r="G57">
        <v>516432</v>
      </c>
      <c r="H57" s="37">
        <v>1.9849000000000001</v>
      </c>
      <c r="I57" s="10"/>
      <c r="J57" s="10"/>
      <c r="K57" s="10"/>
      <c r="L57" s="10"/>
      <c r="M57" s="51">
        <v>1.9646999999999999</v>
      </c>
    </row>
    <row r="58" spans="1:13" s="14" customFormat="1" x14ac:dyDescent="0.2">
      <c r="A58" t="s">
        <v>113</v>
      </c>
      <c r="B58" t="s">
        <v>82</v>
      </c>
      <c r="C58" s="5">
        <v>44167</v>
      </c>
      <c r="D58" t="s">
        <v>58</v>
      </c>
      <c r="E58" s="7">
        <v>14772</v>
      </c>
      <c r="F58"/>
      <c r="G58"/>
      <c r="H58" s="53">
        <v>-0.95589999999999997</v>
      </c>
      <c r="I58" s="10"/>
      <c r="J58" s="10"/>
      <c r="K58" s="10"/>
      <c r="L58" s="93">
        <v>-875</v>
      </c>
      <c r="M58" s="51">
        <f>-0.3945-0.565</f>
        <v>-0.95950000000000002</v>
      </c>
    </row>
    <row r="59" spans="1:13" s="14" customFormat="1" x14ac:dyDescent="0.2">
      <c r="A59" t="s">
        <v>113</v>
      </c>
      <c r="B59" t="s">
        <v>82</v>
      </c>
      <c r="C59" s="5">
        <v>44167</v>
      </c>
      <c r="D59" t="s">
        <v>46</v>
      </c>
      <c r="E59" s="7">
        <v>13390037</v>
      </c>
      <c r="F59"/>
      <c r="G59"/>
      <c r="H59" s="37">
        <v>-1.1073000000000002</v>
      </c>
      <c r="I59" s="10"/>
      <c r="J59" s="10"/>
      <c r="K59" s="10"/>
      <c r="L59" s="10"/>
      <c r="M59" s="51">
        <f>-0.9892-0.1</f>
        <v>-1.0891999999999999</v>
      </c>
    </row>
    <row r="60" spans="1:13" s="14" customFormat="1" x14ac:dyDescent="0.2">
      <c r="A60" t="s">
        <v>113</v>
      </c>
      <c r="B60" t="s">
        <v>82</v>
      </c>
      <c r="C60" s="5">
        <v>44167</v>
      </c>
      <c r="D60" t="s">
        <v>23</v>
      </c>
      <c r="E60" s="7"/>
      <c r="F60"/>
      <c r="G60"/>
      <c r="H60" s="37">
        <v>-1.7744</v>
      </c>
      <c r="I60" s="10"/>
      <c r="J60" s="10"/>
      <c r="K60" s="10"/>
      <c r="L60" s="10"/>
      <c r="M60" s="51">
        <v>-1.7744</v>
      </c>
    </row>
    <row r="61" spans="1:13" s="14" customFormat="1" x14ac:dyDescent="0.2">
      <c r="A61" t="s">
        <v>113</v>
      </c>
      <c r="B61" t="s">
        <v>82</v>
      </c>
      <c r="C61" s="5">
        <v>44167</v>
      </c>
      <c r="D61" t="s">
        <v>21</v>
      </c>
      <c r="E61" s="7"/>
      <c r="F61">
        <v>156528</v>
      </c>
      <c r="G61">
        <v>516432</v>
      </c>
      <c r="H61" s="37">
        <v>1.9849000000000001</v>
      </c>
      <c r="I61" s="10"/>
      <c r="J61" s="10"/>
      <c r="K61" s="10"/>
      <c r="L61" s="10"/>
      <c r="M61" s="51">
        <v>1.9872000000000001</v>
      </c>
    </row>
    <row r="62" spans="1:13" s="14" customFormat="1" x14ac:dyDescent="0.2">
      <c r="A62" t="s">
        <v>113</v>
      </c>
      <c r="B62" t="s">
        <v>82</v>
      </c>
      <c r="C62" s="5">
        <v>44222</v>
      </c>
      <c r="D62" t="s">
        <v>58</v>
      </c>
      <c r="E62" s="7">
        <v>14772</v>
      </c>
      <c r="F62"/>
      <c r="G62"/>
      <c r="H62" s="53">
        <v>-0.95589999999999997</v>
      </c>
      <c r="I62" s="10"/>
      <c r="J62" s="10"/>
      <c r="K62" s="10"/>
      <c r="L62" s="98">
        <v>-875</v>
      </c>
      <c r="M62" s="51">
        <f>-0.3921-0.565</f>
        <v>-0.95709999999999995</v>
      </c>
    </row>
    <row r="63" spans="1:13" s="14" customFormat="1" x14ac:dyDescent="0.2">
      <c r="A63" t="s">
        <v>113</v>
      </c>
      <c r="B63" t="s">
        <v>82</v>
      </c>
      <c r="C63" s="5">
        <v>44222</v>
      </c>
      <c r="D63" t="s">
        <v>46</v>
      </c>
      <c r="E63" s="7">
        <v>13390037</v>
      </c>
      <c r="F63"/>
      <c r="G63"/>
      <c r="H63" s="37">
        <v>-1.1073000000000002</v>
      </c>
      <c r="I63" s="10"/>
      <c r="J63" s="10"/>
      <c r="K63" s="10"/>
      <c r="L63" s="10"/>
      <c r="M63" s="51">
        <f>-0.9872-0.1</f>
        <v>-1.0871999999999999</v>
      </c>
    </row>
    <row r="64" spans="1:13" s="14" customFormat="1" x14ac:dyDescent="0.2">
      <c r="A64" t="s">
        <v>113</v>
      </c>
      <c r="B64" t="s">
        <v>82</v>
      </c>
      <c r="C64" s="5">
        <v>44222</v>
      </c>
      <c r="D64" t="s">
        <v>23</v>
      </c>
      <c r="E64" s="7"/>
      <c r="F64"/>
      <c r="G64"/>
      <c r="H64" s="37">
        <v>-1.7778</v>
      </c>
      <c r="I64" s="10"/>
      <c r="J64" s="10"/>
      <c r="K64" s="10"/>
      <c r="L64" s="10"/>
      <c r="M64" s="51">
        <v>-1.7778</v>
      </c>
    </row>
    <row r="65" spans="1:13" s="125" customFormat="1" ht="13.5" thickBot="1" x14ac:dyDescent="0.25">
      <c r="A65" s="118" t="s">
        <v>113</v>
      </c>
      <c r="B65" s="118" t="s">
        <v>82</v>
      </c>
      <c r="C65" s="129">
        <v>44222</v>
      </c>
      <c r="D65" s="118" t="s">
        <v>21</v>
      </c>
      <c r="E65" s="121"/>
      <c r="F65" s="118">
        <v>156528</v>
      </c>
      <c r="G65" s="118">
        <v>516432</v>
      </c>
      <c r="H65" s="122">
        <v>1.9473</v>
      </c>
      <c r="I65" s="123"/>
      <c r="J65" s="123"/>
      <c r="K65" s="123"/>
      <c r="L65" s="123"/>
      <c r="M65" s="164">
        <v>1.9473</v>
      </c>
    </row>
    <row r="66" spans="1:13" s="14" customFormat="1" x14ac:dyDescent="0.2">
      <c r="A66" t="s">
        <v>113</v>
      </c>
      <c r="B66" t="s">
        <v>82</v>
      </c>
      <c r="C66" s="5">
        <v>44253</v>
      </c>
      <c r="D66" t="s">
        <v>58</v>
      </c>
      <c r="E66" s="7">
        <v>14772</v>
      </c>
      <c r="F66"/>
      <c r="G66"/>
      <c r="H66" s="53">
        <v>-1.2803</v>
      </c>
      <c r="I66" s="10"/>
      <c r="J66" s="10"/>
      <c r="K66" s="10"/>
      <c r="L66" s="93">
        <v>-869</v>
      </c>
      <c r="M66" s="162">
        <f>-0.7153-0.565</f>
        <v>-1.2803</v>
      </c>
    </row>
    <row r="67" spans="1:13" s="14" customFormat="1" x14ac:dyDescent="0.2">
      <c r="A67" t="s">
        <v>113</v>
      </c>
      <c r="B67" t="s">
        <v>82</v>
      </c>
      <c r="C67" s="5">
        <v>44253</v>
      </c>
      <c r="D67" t="s">
        <v>46</v>
      </c>
      <c r="E67" s="7">
        <v>13390037</v>
      </c>
      <c r="F67"/>
      <c r="G67"/>
      <c r="H67" s="37">
        <v>-1.3528</v>
      </c>
      <c r="I67" s="10"/>
      <c r="J67" s="10"/>
      <c r="K67" s="10"/>
      <c r="L67" s="10"/>
      <c r="M67" s="161">
        <f>-1.2528-0.1</f>
        <v>-1.3528</v>
      </c>
    </row>
    <row r="68" spans="1:13" s="14" customFormat="1" x14ac:dyDescent="0.2">
      <c r="A68" t="s">
        <v>113</v>
      </c>
      <c r="B68" t="s">
        <v>82</v>
      </c>
      <c r="C68" s="5">
        <v>44253</v>
      </c>
      <c r="D68" t="s">
        <v>23</v>
      </c>
      <c r="E68" s="7"/>
      <c r="F68"/>
      <c r="G68"/>
      <c r="H68" s="37">
        <v>-1.7749999999999999</v>
      </c>
      <c r="I68" s="10"/>
      <c r="J68" s="10"/>
      <c r="K68" s="10"/>
      <c r="L68" s="10"/>
      <c r="M68" s="51">
        <v>-1.7749999999999999</v>
      </c>
    </row>
    <row r="69" spans="1:13" s="14" customFormat="1" x14ac:dyDescent="0.2">
      <c r="A69" t="s">
        <v>113</v>
      </c>
      <c r="B69" t="s">
        <v>82</v>
      </c>
      <c r="C69" s="5">
        <v>44253</v>
      </c>
      <c r="D69" t="s">
        <v>21</v>
      </c>
      <c r="E69" s="7"/>
      <c r="F69">
        <v>156527</v>
      </c>
      <c r="G69">
        <v>516432</v>
      </c>
      <c r="H69" s="37">
        <v>1.7544</v>
      </c>
      <c r="I69" s="10"/>
      <c r="J69" s="10"/>
      <c r="K69" s="10"/>
      <c r="L69" s="10"/>
      <c r="M69" s="51"/>
    </row>
    <row r="70" spans="1:13" s="14" customFormat="1" x14ac:dyDescent="0.2">
      <c r="A70" t="s">
        <v>113</v>
      </c>
      <c r="B70" t="s">
        <v>82</v>
      </c>
      <c r="C70" s="5">
        <v>44284</v>
      </c>
      <c r="D70" t="s">
        <v>58</v>
      </c>
      <c r="E70" s="7">
        <v>14772</v>
      </c>
      <c r="F70"/>
      <c r="G70"/>
      <c r="H70" s="53">
        <f>-0.67-0.565</f>
        <v>-1.2349999999999999</v>
      </c>
      <c r="I70" s="10"/>
      <c r="J70" s="10"/>
      <c r="K70" s="10"/>
      <c r="L70" s="93">
        <v>-869</v>
      </c>
      <c r="M70" s="162">
        <f>-0.67-0.565</f>
        <v>-1.2349999999999999</v>
      </c>
    </row>
    <row r="71" spans="1:13" s="14" customFormat="1" x14ac:dyDescent="0.2">
      <c r="A71" t="s">
        <v>113</v>
      </c>
      <c r="B71" t="s">
        <v>82</v>
      </c>
      <c r="C71" s="5">
        <v>44284</v>
      </c>
      <c r="D71" t="s">
        <v>46</v>
      </c>
      <c r="E71" s="7">
        <v>13390037</v>
      </c>
      <c r="F71"/>
      <c r="G71"/>
      <c r="H71" s="37">
        <f>-1.21-0.1</f>
        <v>-1.31</v>
      </c>
      <c r="I71" s="10"/>
      <c r="J71" s="10"/>
      <c r="K71" s="10"/>
      <c r="L71" s="10"/>
      <c r="M71" s="161">
        <f>-1.21-0.1</f>
        <v>-1.31</v>
      </c>
    </row>
    <row r="72" spans="1:13" s="14" customFormat="1" x14ac:dyDescent="0.2">
      <c r="A72" t="s">
        <v>113</v>
      </c>
      <c r="B72" t="s">
        <v>82</v>
      </c>
      <c r="C72" s="5">
        <v>44284</v>
      </c>
      <c r="D72" t="s">
        <v>23</v>
      </c>
      <c r="E72" s="7"/>
      <c r="F72"/>
      <c r="G72"/>
      <c r="H72" s="195">
        <v>-1.81</v>
      </c>
      <c r="I72" s="10"/>
      <c r="J72" s="10"/>
      <c r="K72" s="10"/>
      <c r="L72" s="10"/>
      <c r="M72" s="51">
        <v>-1.81</v>
      </c>
    </row>
    <row r="73" spans="1:13" s="14" customFormat="1" x14ac:dyDescent="0.2">
      <c r="A73" t="s">
        <v>113</v>
      </c>
      <c r="B73" t="s">
        <v>82</v>
      </c>
      <c r="C73" s="5">
        <v>44284</v>
      </c>
      <c r="D73" t="s">
        <v>21</v>
      </c>
      <c r="E73" s="7"/>
      <c r="F73">
        <v>156527</v>
      </c>
      <c r="G73">
        <v>516432</v>
      </c>
      <c r="H73" s="37">
        <v>1.7</v>
      </c>
      <c r="I73" s="10"/>
      <c r="J73" s="10"/>
      <c r="K73" s="10"/>
      <c r="L73" s="10"/>
      <c r="M73" s="46">
        <v>1.7</v>
      </c>
    </row>
    <row r="74" spans="1:13" s="14" customFormat="1" x14ac:dyDescent="0.2">
      <c r="A74"/>
      <c r="B74"/>
      <c r="C74"/>
      <c r="D74"/>
      <c r="E74" s="7"/>
      <c r="F74"/>
      <c r="G74"/>
      <c r="H74" s="10"/>
      <c r="I74" s="10"/>
      <c r="J74" s="10"/>
      <c r="K74" s="10"/>
      <c r="L74" s="10"/>
      <c r="M74" s="51"/>
    </row>
    <row r="75" spans="1:13" s="14" customFormat="1" x14ac:dyDescent="0.2">
      <c r="A75"/>
      <c r="B75"/>
      <c r="C75"/>
      <c r="D75"/>
      <c r="E75" s="7"/>
      <c r="F75"/>
      <c r="G75"/>
      <c r="H75" s="10"/>
      <c r="I75" s="10"/>
      <c r="J75" s="10"/>
      <c r="K75" s="10"/>
      <c r="L75" s="10"/>
      <c r="M75" s="51"/>
    </row>
    <row r="76" spans="1:13" s="14" customFormat="1" x14ac:dyDescent="0.2">
      <c r="A76"/>
      <c r="B76"/>
      <c r="C76"/>
      <c r="D76"/>
      <c r="E76" s="7"/>
      <c r="F76"/>
      <c r="G76"/>
      <c r="H76" s="10"/>
      <c r="I76" s="10"/>
      <c r="J76" s="10"/>
      <c r="K76" s="10"/>
      <c r="L76" s="10"/>
      <c r="M76" s="51"/>
    </row>
    <row r="77" spans="1:13" s="14" customFormat="1" x14ac:dyDescent="0.2">
      <c r="A77"/>
      <c r="B77"/>
      <c r="C77"/>
      <c r="D77"/>
      <c r="E77" s="7"/>
      <c r="F77"/>
      <c r="G77"/>
      <c r="H77" s="10"/>
      <c r="I77" s="10"/>
      <c r="J77" s="10"/>
      <c r="K77" s="10"/>
      <c r="L77" s="10"/>
      <c r="M77" s="51"/>
    </row>
    <row r="78" spans="1:13" s="14" customFormat="1" x14ac:dyDescent="0.2">
      <c r="A78"/>
      <c r="B78"/>
      <c r="C78"/>
      <c r="D78"/>
      <c r="E78" s="7"/>
      <c r="F78"/>
      <c r="G78"/>
      <c r="H78" s="10"/>
      <c r="I78" s="10"/>
      <c r="J78" s="10"/>
      <c r="K78" s="10"/>
      <c r="L78" s="10"/>
      <c r="M78" s="51"/>
    </row>
    <row r="79" spans="1:13" s="14" customFormat="1" x14ac:dyDescent="0.2">
      <c r="A79"/>
      <c r="B79"/>
      <c r="C79"/>
      <c r="D79"/>
      <c r="E79" s="7"/>
      <c r="F79"/>
      <c r="G79"/>
      <c r="H79" s="10"/>
      <c r="I79" s="10"/>
      <c r="J79" s="10"/>
      <c r="K79" s="10"/>
      <c r="L79" s="10"/>
      <c r="M79" s="51"/>
    </row>
    <row r="80" spans="1:13" s="14" customFormat="1" x14ac:dyDescent="0.2">
      <c r="A80"/>
      <c r="B80"/>
      <c r="C80"/>
      <c r="D80"/>
      <c r="E80" s="7"/>
      <c r="F80"/>
      <c r="G80"/>
      <c r="H80" s="10"/>
      <c r="I80" s="10"/>
      <c r="J80" s="10"/>
      <c r="K80" s="10"/>
      <c r="L80" s="10"/>
      <c r="M80" s="51"/>
    </row>
    <row r="81" spans="1:13" s="14" customFormat="1" ht="12.75" customHeight="1" x14ac:dyDescent="0.2">
      <c r="A81"/>
      <c r="B81"/>
      <c r="C81"/>
      <c r="D81"/>
      <c r="E81" s="7"/>
      <c r="F81"/>
      <c r="G81"/>
      <c r="H81" s="10"/>
      <c r="I81" s="10"/>
      <c r="J81" s="10"/>
      <c r="K81" s="10"/>
      <c r="L81" s="10"/>
      <c r="M81" s="51"/>
    </row>
    <row r="82" spans="1:13" s="14" customFormat="1" ht="12.75" customHeight="1" x14ac:dyDescent="0.2">
      <c r="A82"/>
      <c r="B82"/>
      <c r="C82"/>
      <c r="D82"/>
      <c r="E82" s="7"/>
      <c r="F82"/>
      <c r="G82"/>
      <c r="H82" s="10"/>
      <c r="I82" s="10"/>
      <c r="J82" s="10"/>
      <c r="K82" s="10"/>
      <c r="L82" s="10"/>
      <c r="M82" s="51"/>
    </row>
    <row r="83" spans="1:13" s="14" customFormat="1" x14ac:dyDescent="0.2">
      <c r="A83"/>
      <c r="B83"/>
      <c r="C83"/>
      <c r="D83"/>
      <c r="E83" s="7"/>
      <c r="F83"/>
      <c r="G83"/>
      <c r="H83" s="10"/>
      <c r="I83" s="10"/>
      <c r="J83" s="10"/>
      <c r="K83" s="10"/>
      <c r="L83" s="10"/>
      <c r="M83" s="51"/>
    </row>
    <row r="84" spans="1:13" s="14" customFormat="1" x14ac:dyDescent="0.2">
      <c r="A84"/>
      <c r="B84"/>
      <c r="C84"/>
      <c r="D84"/>
      <c r="E84" s="7"/>
      <c r="F84"/>
      <c r="G84"/>
      <c r="H84" s="10"/>
      <c r="I84" s="10"/>
      <c r="J84" s="10"/>
      <c r="K84" s="10"/>
      <c r="L84" s="10"/>
      <c r="M84" s="51"/>
    </row>
    <row r="85" spans="1:13" s="14" customFormat="1" x14ac:dyDescent="0.2">
      <c r="A85"/>
      <c r="B85"/>
      <c r="C85"/>
      <c r="D85"/>
      <c r="E85" s="7"/>
      <c r="F85"/>
      <c r="G85"/>
      <c r="H85" s="10"/>
      <c r="I85" s="10"/>
      <c r="J85" s="10"/>
      <c r="K85" s="10"/>
      <c r="L85" s="10"/>
      <c r="M85" s="51"/>
    </row>
    <row r="86" spans="1:13" s="14" customFormat="1" x14ac:dyDescent="0.2">
      <c r="A86"/>
      <c r="B86"/>
      <c r="C86"/>
      <c r="D86"/>
      <c r="E86" s="7"/>
      <c r="F86"/>
      <c r="G86"/>
      <c r="H86" s="10"/>
      <c r="I86" s="10"/>
      <c r="J86" s="10"/>
      <c r="K86" s="10"/>
      <c r="L86" s="10"/>
      <c r="M86" s="51"/>
    </row>
    <row r="87" spans="1:13" s="14" customFormat="1" x14ac:dyDescent="0.2">
      <c r="A87"/>
      <c r="B87"/>
      <c r="C87"/>
      <c r="D87"/>
      <c r="E87" s="7"/>
      <c r="F87"/>
      <c r="G87"/>
      <c r="H87" s="10"/>
      <c r="I87" s="10"/>
      <c r="J87" s="10"/>
      <c r="K87" s="10"/>
      <c r="L87" s="10"/>
      <c r="M87" s="51"/>
    </row>
    <row r="88" spans="1:13" s="14" customFormat="1" x14ac:dyDescent="0.2">
      <c r="A88"/>
      <c r="B88"/>
      <c r="C88"/>
      <c r="D88"/>
      <c r="E88" s="7"/>
      <c r="F88"/>
      <c r="G88"/>
      <c r="H88" s="10"/>
      <c r="I88" s="10"/>
      <c r="J88" s="10"/>
      <c r="K88" s="10"/>
      <c r="L88" s="10"/>
      <c r="M88" s="51"/>
    </row>
    <row r="89" spans="1:13" s="14" customFormat="1" x14ac:dyDescent="0.2">
      <c r="A89"/>
      <c r="B89"/>
      <c r="C89"/>
      <c r="D89"/>
      <c r="E89" s="7"/>
      <c r="F89"/>
      <c r="G89"/>
      <c r="H89" s="10"/>
      <c r="I89" s="10"/>
      <c r="J89" s="10"/>
      <c r="K89" s="10"/>
      <c r="L89" s="10"/>
      <c r="M89" s="51"/>
    </row>
    <row r="90" spans="1:13" s="14" customFormat="1" x14ac:dyDescent="0.2">
      <c r="A90"/>
      <c r="B90"/>
      <c r="C90"/>
      <c r="D90"/>
      <c r="E90" s="7"/>
      <c r="F90"/>
      <c r="G90"/>
      <c r="H90" s="10"/>
      <c r="I90" s="10"/>
      <c r="J90" s="10"/>
      <c r="K90" s="10"/>
      <c r="L90" s="10"/>
      <c r="M90" s="51"/>
    </row>
    <row r="91" spans="1:13" s="14" customFormat="1" x14ac:dyDescent="0.2">
      <c r="A91"/>
      <c r="B91"/>
      <c r="C91"/>
      <c r="D91"/>
      <c r="E91" s="7"/>
      <c r="F91"/>
      <c r="G91"/>
      <c r="H91" s="10"/>
      <c r="I91" s="10"/>
      <c r="J91" s="10"/>
      <c r="K91" s="10"/>
      <c r="L91" s="10"/>
      <c r="M91" s="51"/>
    </row>
    <row r="92" spans="1:13" s="14" customFormat="1" x14ac:dyDescent="0.2">
      <c r="A92"/>
      <c r="B92"/>
      <c r="C92"/>
      <c r="D92"/>
      <c r="E92" s="7"/>
      <c r="F92"/>
      <c r="G92"/>
      <c r="H92" s="10"/>
      <c r="I92" s="10"/>
      <c r="J92" s="10"/>
      <c r="K92" s="10"/>
      <c r="L92" s="10"/>
      <c r="M92" s="51"/>
    </row>
    <row r="93" spans="1:13" s="14" customFormat="1" x14ac:dyDescent="0.2">
      <c r="A93"/>
      <c r="B93"/>
      <c r="C93"/>
      <c r="D93"/>
      <c r="E93" s="7"/>
      <c r="F93"/>
      <c r="G93"/>
      <c r="H93" s="10"/>
      <c r="I93" s="10"/>
      <c r="J93" s="10"/>
      <c r="K93" s="10"/>
      <c r="L93" s="10"/>
      <c r="M93" s="51"/>
    </row>
    <row r="94" spans="1:13" s="14" customFormat="1" x14ac:dyDescent="0.2">
      <c r="A94"/>
      <c r="B94"/>
      <c r="C94"/>
      <c r="D94"/>
      <c r="E94" s="7"/>
      <c r="F94"/>
      <c r="G94"/>
      <c r="H94" s="10"/>
      <c r="I94" s="10"/>
      <c r="J94" s="10"/>
      <c r="K94" s="10"/>
      <c r="L94" s="10"/>
      <c r="M94" s="51"/>
    </row>
    <row r="95" spans="1:13" s="14" customFormat="1" x14ac:dyDescent="0.2">
      <c r="A95"/>
      <c r="B95"/>
      <c r="C95"/>
      <c r="D95"/>
      <c r="E95" s="7"/>
      <c r="F95"/>
      <c r="G95"/>
      <c r="H95" s="10"/>
      <c r="I95" s="10"/>
      <c r="J95" s="10"/>
      <c r="K95" s="10"/>
      <c r="L95" s="10"/>
      <c r="M95" s="51"/>
    </row>
    <row r="96" spans="1:13" s="14" customFormat="1" x14ac:dyDescent="0.2">
      <c r="A96"/>
      <c r="B96"/>
      <c r="C96"/>
      <c r="D96"/>
      <c r="E96" s="7"/>
      <c r="F96"/>
      <c r="G96"/>
      <c r="H96" s="10"/>
      <c r="I96" s="10"/>
      <c r="J96" s="10"/>
      <c r="K96" s="10"/>
      <c r="L96" s="10"/>
      <c r="M96" s="51"/>
    </row>
    <row r="97" spans="1:13" s="14" customFormat="1" x14ac:dyDescent="0.2">
      <c r="A97"/>
      <c r="B97"/>
      <c r="C97"/>
      <c r="D97"/>
      <c r="E97" s="7"/>
      <c r="F97"/>
      <c r="G97"/>
      <c r="H97" s="10"/>
      <c r="I97" s="10"/>
      <c r="J97" s="10"/>
      <c r="K97" s="10"/>
      <c r="L97" s="10"/>
      <c r="M97" s="51"/>
    </row>
    <row r="98" spans="1:13" s="14" customFormat="1" x14ac:dyDescent="0.2">
      <c r="A98"/>
      <c r="B98"/>
      <c r="C98"/>
      <c r="D98"/>
      <c r="E98" s="7"/>
      <c r="F98"/>
      <c r="G98"/>
      <c r="H98" s="10"/>
      <c r="I98" s="10"/>
      <c r="J98" s="10"/>
      <c r="K98" s="10"/>
      <c r="L98" s="10"/>
      <c r="M98" s="51"/>
    </row>
    <row r="99" spans="1:13" s="14" customFormat="1" x14ac:dyDescent="0.2">
      <c r="A99"/>
      <c r="B99"/>
      <c r="C99"/>
      <c r="D99"/>
      <c r="E99" s="7"/>
      <c r="F99"/>
      <c r="G99"/>
      <c r="H99" s="10"/>
      <c r="I99" s="10"/>
      <c r="J99" s="10"/>
      <c r="K99" s="10"/>
      <c r="L99" s="10"/>
      <c r="M99" s="51"/>
    </row>
    <row r="100" spans="1:13" s="14" customFormat="1" x14ac:dyDescent="0.2">
      <c r="A100"/>
      <c r="B100"/>
      <c r="C100"/>
      <c r="D100"/>
      <c r="E100" s="7"/>
      <c r="F100"/>
      <c r="G100"/>
      <c r="H100" s="10"/>
      <c r="I100" s="10"/>
      <c r="J100" s="10"/>
      <c r="K100" s="10"/>
      <c r="L100" s="10"/>
      <c r="M100" s="51"/>
    </row>
    <row r="101" spans="1:13" s="14" customFormat="1" x14ac:dyDescent="0.2">
      <c r="A101"/>
      <c r="B101"/>
      <c r="C101"/>
      <c r="D101"/>
      <c r="E101" s="7"/>
      <c r="F101"/>
      <c r="G101"/>
      <c r="H101" s="10"/>
      <c r="I101" s="10"/>
      <c r="J101" s="10"/>
      <c r="K101" s="10"/>
      <c r="L101" s="10"/>
      <c r="M101" s="51"/>
    </row>
    <row r="102" spans="1:13" s="14" customFormat="1" x14ac:dyDescent="0.2">
      <c r="A102"/>
      <c r="B102"/>
      <c r="C102"/>
      <c r="D102"/>
      <c r="E102" s="7"/>
      <c r="F102"/>
      <c r="G102"/>
      <c r="H102" s="10"/>
      <c r="I102" s="10"/>
      <c r="J102" s="10"/>
      <c r="K102" s="10"/>
      <c r="L102" s="10"/>
      <c r="M102" s="51"/>
    </row>
    <row r="103" spans="1:13" s="14" customFormat="1" x14ac:dyDescent="0.2">
      <c r="A103"/>
      <c r="B103"/>
      <c r="C103"/>
      <c r="D103"/>
      <c r="E103" s="7"/>
      <c r="F103"/>
      <c r="G103"/>
      <c r="H103" s="10"/>
      <c r="I103" s="10"/>
      <c r="J103" s="10"/>
      <c r="K103" s="10"/>
      <c r="L103" s="10"/>
      <c r="M103" s="51"/>
    </row>
    <row r="104" spans="1:13" s="14" customFormat="1" x14ac:dyDescent="0.2">
      <c r="A104"/>
      <c r="B104"/>
      <c r="C104"/>
      <c r="D104"/>
      <c r="E104" s="7"/>
      <c r="F104"/>
      <c r="G104"/>
      <c r="H104" s="10"/>
      <c r="I104" s="10"/>
      <c r="J104" s="10"/>
      <c r="K104" s="10"/>
      <c r="L104" s="10"/>
      <c r="M104" s="51"/>
    </row>
    <row r="105" spans="1:13" s="14" customFormat="1" x14ac:dyDescent="0.2">
      <c r="A105"/>
      <c r="B105"/>
      <c r="C105"/>
      <c r="D105"/>
      <c r="E105" s="7"/>
      <c r="F105"/>
      <c r="G105"/>
      <c r="H105" s="10"/>
      <c r="I105" s="10"/>
      <c r="J105" s="10"/>
      <c r="K105" s="10"/>
      <c r="L105" s="10"/>
      <c r="M105" s="51"/>
    </row>
    <row r="106" spans="1:13" s="14" customFormat="1" x14ac:dyDescent="0.2">
      <c r="A106"/>
      <c r="B106"/>
      <c r="C106"/>
      <c r="D106"/>
      <c r="E106" s="7"/>
      <c r="F106"/>
      <c r="G106"/>
      <c r="H106" s="10"/>
      <c r="I106" s="10"/>
      <c r="J106" s="10"/>
      <c r="K106" s="10"/>
      <c r="L106" s="10"/>
      <c r="M106" s="51"/>
    </row>
    <row r="107" spans="1:13" s="14" customFormat="1" x14ac:dyDescent="0.2">
      <c r="A107"/>
      <c r="B107"/>
      <c r="C107"/>
      <c r="D107"/>
      <c r="E107" s="7"/>
      <c r="F107"/>
      <c r="G107"/>
      <c r="H107" s="10"/>
      <c r="I107" s="10"/>
      <c r="J107" s="10"/>
      <c r="K107" s="10"/>
      <c r="L107" s="10"/>
      <c r="M107" s="51"/>
    </row>
    <row r="108" spans="1:13" s="14" customFormat="1" x14ac:dyDescent="0.2">
      <c r="A108"/>
      <c r="B108"/>
      <c r="C108"/>
      <c r="D108"/>
      <c r="E108" s="7"/>
      <c r="F108"/>
      <c r="G108"/>
      <c r="H108" s="10"/>
      <c r="I108" s="10"/>
      <c r="J108" s="10"/>
      <c r="K108" s="10"/>
      <c r="L108" s="10"/>
      <c r="M108" s="51"/>
    </row>
    <row r="109" spans="1:13" s="14" customFormat="1" x14ac:dyDescent="0.2">
      <c r="A109"/>
      <c r="B109"/>
      <c r="C109"/>
      <c r="D109"/>
      <c r="E109" s="7"/>
      <c r="F109"/>
      <c r="G109"/>
      <c r="H109" s="10"/>
      <c r="I109" s="10"/>
      <c r="J109" s="10"/>
      <c r="K109" s="10"/>
      <c r="L109" s="10"/>
      <c r="M109" s="51"/>
    </row>
    <row r="110" spans="1:13" s="14" customFormat="1" x14ac:dyDescent="0.2">
      <c r="A110"/>
      <c r="B110"/>
      <c r="C110"/>
      <c r="D110"/>
      <c r="E110" s="7"/>
      <c r="F110"/>
      <c r="G110"/>
      <c r="H110" s="10"/>
      <c r="I110" s="10"/>
      <c r="J110" s="10"/>
      <c r="K110" s="10"/>
      <c r="L110" s="10"/>
      <c r="M110" s="51"/>
    </row>
    <row r="111" spans="1:13" s="14" customFormat="1" x14ac:dyDescent="0.2">
      <c r="A111"/>
      <c r="B111"/>
      <c r="C111"/>
      <c r="D111"/>
      <c r="E111" s="7"/>
      <c r="F111"/>
      <c r="G111"/>
      <c r="H111" s="10"/>
      <c r="I111" s="10"/>
      <c r="J111" s="10"/>
      <c r="K111" s="10"/>
      <c r="L111" s="10"/>
      <c r="M111" s="51"/>
    </row>
    <row r="112" spans="1:13" s="14" customFormat="1" x14ac:dyDescent="0.2">
      <c r="A112"/>
      <c r="B112"/>
      <c r="C112"/>
      <c r="D112"/>
      <c r="E112" s="7"/>
      <c r="F112"/>
      <c r="G112"/>
      <c r="H112" s="10"/>
      <c r="I112" s="10"/>
      <c r="J112" s="10"/>
      <c r="K112" s="10"/>
      <c r="L112" s="10"/>
      <c r="M112" s="51"/>
    </row>
    <row r="113" spans="1:13" s="14" customFormat="1" x14ac:dyDescent="0.2">
      <c r="A113"/>
      <c r="B113"/>
      <c r="C113"/>
      <c r="D113"/>
      <c r="E113" s="7"/>
      <c r="F113"/>
      <c r="G113"/>
      <c r="H113" s="10"/>
      <c r="I113" s="10"/>
      <c r="J113" s="10"/>
      <c r="K113" s="10"/>
      <c r="L113" s="10"/>
      <c r="M113" s="51"/>
    </row>
    <row r="114" spans="1:13" s="14" customFormat="1" x14ac:dyDescent="0.2">
      <c r="A114"/>
      <c r="B114"/>
      <c r="C114"/>
      <c r="D114"/>
      <c r="E114" s="7"/>
      <c r="F114"/>
      <c r="G114"/>
      <c r="H114" s="10"/>
      <c r="I114" s="10"/>
      <c r="J114" s="10"/>
      <c r="K114" s="10"/>
      <c r="L114" s="10"/>
      <c r="M114" s="51"/>
    </row>
    <row r="115" spans="1:13" s="14" customFormat="1" x14ac:dyDescent="0.2">
      <c r="A115"/>
      <c r="B115"/>
      <c r="C115"/>
      <c r="D115"/>
      <c r="E115" s="7"/>
      <c r="F115"/>
      <c r="G115"/>
      <c r="H115" s="10"/>
      <c r="I115" s="10"/>
      <c r="J115" s="10"/>
      <c r="K115" s="10"/>
      <c r="L115" s="10"/>
      <c r="M115" s="51"/>
    </row>
    <row r="116" spans="1:13" s="14" customFormat="1" x14ac:dyDescent="0.2">
      <c r="A116"/>
      <c r="B116"/>
      <c r="C116"/>
      <c r="D116"/>
      <c r="E116" s="7"/>
      <c r="F116"/>
      <c r="G116"/>
      <c r="H116" s="10"/>
      <c r="I116" s="10"/>
      <c r="J116" s="10"/>
      <c r="K116" s="10"/>
      <c r="L116" s="10"/>
      <c r="M116" s="51"/>
    </row>
    <row r="117" spans="1:13" s="14" customFormat="1" x14ac:dyDescent="0.2">
      <c r="A117"/>
      <c r="B117"/>
      <c r="C117"/>
      <c r="D117"/>
      <c r="E117" s="7"/>
      <c r="F117"/>
      <c r="G117"/>
      <c r="H117" s="10"/>
      <c r="I117" s="10"/>
      <c r="J117" s="10"/>
      <c r="K117" s="10"/>
      <c r="L117" s="10"/>
      <c r="M117" s="51"/>
    </row>
    <row r="118" spans="1:13" s="14" customFormat="1" x14ac:dyDescent="0.2">
      <c r="A118"/>
      <c r="B118"/>
      <c r="C118"/>
      <c r="D118"/>
      <c r="E118" s="7"/>
      <c r="F118"/>
      <c r="G118"/>
      <c r="H118" s="10"/>
      <c r="I118" s="10"/>
      <c r="J118" s="10"/>
      <c r="K118" s="10"/>
      <c r="L118" s="10"/>
      <c r="M118" s="51"/>
    </row>
    <row r="119" spans="1:13" s="14" customFormat="1" x14ac:dyDescent="0.2">
      <c r="A119"/>
      <c r="B119"/>
      <c r="C119"/>
      <c r="D119"/>
      <c r="E119" s="7"/>
      <c r="F119"/>
      <c r="G119"/>
      <c r="H119" s="10"/>
      <c r="I119" s="10"/>
      <c r="J119" s="10"/>
      <c r="K119" s="10"/>
      <c r="L119" s="10"/>
      <c r="M119" s="51"/>
    </row>
    <row r="120" spans="1:13" s="14" customFormat="1" x14ac:dyDescent="0.2">
      <c r="A120"/>
      <c r="B120"/>
      <c r="C120"/>
      <c r="D120"/>
      <c r="E120" s="7"/>
      <c r="F120"/>
      <c r="G120"/>
      <c r="H120" s="10"/>
      <c r="I120" s="10"/>
      <c r="J120" s="10"/>
      <c r="K120" s="10"/>
      <c r="L120" s="10"/>
      <c r="M120" s="51"/>
    </row>
    <row r="121" spans="1:13" s="14" customFormat="1" x14ac:dyDescent="0.2">
      <c r="A121"/>
      <c r="B121"/>
      <c r="C121"/>
      <c r="D121"/>
      <c r="E121" s="7"/>
      <c r="F121"/>
      <c r="G121"/>
      <c r="H121" s="10"/>
      <c r="I121" s="10"/>
      <c r="J121" s="10"/>
      <c r="K121" s="10"/>
      <c r="L121" s="10"/>
      <c r="M121" s="51"/>
    </row>
    <row r="122" spans="1:13" s="14" customFormat="1" x14ac:dyDescent="0.2">
      <c r="A122"/>
      <c r="B122"/>
      <c r="C122"/>
      <c r="D122"/>
      <c r="E122" s="7"/>
      <c r="F122"/>
      <c r="G122"/>
      <c r="H122" s="10"/>
      <c r="I122" s="10"/>
      <c r="J122" s="10"/>
      <c r="K122" s="10"/>
      <c r="L122" s="10"/>
      <c r="M122" s="51"/>
    </row>
    <row r="123" spans="1:13" s="14" customFormat="1" x14ac:dyDescent="0.2">
      <c r="A123"/>
      <c r="B123"/>
      <c r="C123"/>
      <c r="D123"/>
      <c r="E123" s="7"/>
      <c r="F123"/>
      <c r="G123"/>
      <c r="H123" s="10"/>
      <c r="I123" s="10"/>
      <c r="J123" s="10"/>
      <c r="K123" s="10"/>
      <c r="L123" s="10"/>
      <c r="M123" s="51"/>
    </row>
    <row r="124" spans="1:13" s="14" customFormat="1" x14ac:dyDescent="0.2">
      <c r="A124"/>
      <c r="B124"/>
      <c r="C124"/>
      <c r="D124"/>
      <c r="E124" s="7"/>
      <c r="F124"/>
      <c r="G124"/>
      <c r="H124" s="10"/>
      <c r="I124" s="10"/>
      <c r="J124" s="10"/>
      <c r="K124" s="10"/>
      <c r="L124" s="10"/>
      <c r="M124" s="51"/>
    </row>
    <row r="125" spans="1:13" s="14" customFormat="1" x14ac:dyDescent="0.2">
      <c r="A125"/>
      <c r="B125"/>
      <c r="C125"/>
      <c r="D125"/>
      <c r="E125" s="7"/>
      <c r="F125"/>
      <c r="G125"/>
      <c r="H125" s="10"/>
      <c r="I125" s="10"/>
      <c r="J125" s="10"/>
      <c r="K125" s="10"/>
      <c r="L125" s="10"/>
      <c r="M125" s="51"/>
    </row>
    <row r="126" spans="1:13" s="14" customFormat="1" x14ac:dyDescent="0.2">
      <c r="A126"/>
      <c r="B126"/>
      <c r="C126"/>
      <c r="D126"/>
      <c r="E126" s="7"/>
      <c r="F126"/>
      <c r="G126"/>
      <c r="H126" s="10"/>
      <c r="I126" s="10"/>
      <c r="J126" s="10"/>
      <c r="K126" s="10"/>
      <c r="L126" s="10"/>
      <c r="M126" s="51"/>
    </row>
    <row r="127" spans="1:13" s="14" customFormat="1" x14ac:dyDescent="0.2">
      <c r="A127"/>
      <c r="B127"/>
      <c r="C127"/>
      <c r="D127"/>
      <c r="E127" s="7"/>
      <c r="F127"/>
      <c r="G127"/>
      <c r="H127" s="10"/>
      <c r="I127" s="10"/>
      <c r="J127" s="10"/>
      <c r="K127" s="10"/>
      <c r="L127" s="10"/>
      <c r="M127" s="51"/>
    </row>
    <row r="128" spans="1:13" s="14" customFormat="1" x14ac:dyDescent="0.2">
      <c r="A128"/>
      <c r="B128"/>
      <c r="C128"/>
      <c r="D128"/>
      <c r="E128" s="7"/>
      <c r="F128"/>
      <c r="G128"/>
      <c r="H128" s="10"/>
      <c r="I128" s="10"/>
      <c r="J128" s="10"/>
      <c r="K128" s="10"/>
      <c r="L128" s="10"/>
      <c r="M128" s="51"/>
    </row>
    <row r="129" spans="1:13" s="14" customFormat="1" x14ac:dyDescent="0.2">
      <c r="A129"/>
      <c r="B129"/>
      <c r="C129"/>
      <c r="D129"/>
      <c r="E129" s="7"/>
      <c r="F129"/>
      <c r="G129"/>
      <c r="H129" s="10"/>
      <c r="I129" s="10"/>
      <c r="J129" s="10"/>
      <c r="K129" s="10"/>
      <c r="L129" s="10"/>
      <c r="M129" s="51"/>
    </row>
    <row r="130" spans="1:13" s="14" customFormat="1" x14ac:dyDescent="0.2">
      <c r="A130"/>
      <c r="B130"/>
      <c r="C130"/>
      <c r="D130"/>
      <c r="E130" s="7"/>
      <c r="F130"/>
      <c r="G130"/>
      <c r="H130" s="10"/>
      <c r="I130" s="10"/>
      <c r="J130" s="10"/>
      <c r="K130" s="10"/>
      <c r="L130" s="10"/>
      <c r="M130" s="51"/>
    </row>
    <row r="131" spans="1:13" s="14" customFormat="1" x14ac:dyDescent="0.2">
      <c r="A131"/>
      <c r="B131"/>
      <c r="C131"/>
      <c r="D131"/>
      <c r="E131" s="7"/>
      <c r="F131"/>
      <c r="G131"/>
      <c r="H131" s="10"/>
      <c r="I131" s="10"/>
      <c r="J131" s="10"/>
      <c r="K131" s="10"/>
      <c r="L131" s="10"/>
      <c r="M131" s="51"/>
    </row>
    <row r="132" spans="1:13" s="14" customFormat="1" x14ac:dyDescent="0.2">
      <c r="A132"/>
      <c r="B132"/>
      <c r="C132"/>
      <c r="D132"/>
      <c r="E132" s="7"/>
      <c r="F132"/>
      <c r="G132"/>
      <c r="H132" s="10"/>
      <c r="I132" s="10"/>
      <c r="J132" s="10"/>
      <c r="K132" s="10"/>
      <c r="L132" s="10"/>
      <c r="M132" s="51"/>
    </row>
    <row r="133" spans="1:13" s="14" customFormat="1" x14ac:dyDescent="0.2">
      <c r="A133"/>
      <c r="B133"/>
      <c r="C133"/>
      <c r="D133"/>
      <c r="E133" s="7"/>
      <c r="F133"/>
      <c r="G133"/>
      <c r="H133" s="10"/>
      <c r="I133" s="10"/>
      <c r="J133" s="10"/>
      <c r="K133" s="10"/>
      <c r="L133" s="10"/>
      <c r="M133" s="51"/>
    </row>
    <row r="134" spans="1:13" s="14" customFormat="1" x14ac:dyDescent="0.2">
      <c r="A134"/>
      <c r="B134"/>
      <c r="C134"/>
      <c r="D134"/>
      <c r="E134" s="7"/>
      <c r="F134"/>
      <c r="G134"/>
      <c r="H134" s="10"/>
      <c r="I134" s="10"/>
      <c r="J134" s="10"/>
      <c r="K134" s="10"/>
      <c r="L134" s="10"/>
      <c r="M134" s="51"/>
    </row>
    <row r="135" spans="1:13" s="14" customFormat="1" x14ac:dyDescent="0.2">
      <c r="A135"/>
      <c r="B135"/>
      <c r="C135"/>
      <c r="D135"/>
      <c r="E135" s="7"/>
      <c r="F135"/>
      <c r="G135"/>
      <c r="H135" s="10"/>
      <c r="I135" s="10"/>
      <c r="J135" s="10"/>
      <c r="K135" s="10"/>
      <c r="L135" s="10"/>
      <c r="M135" s="51"/>
    </row>
    <row r="136" spans="1:13" s="14" customFormat="1" x14ac:dyDescent="0.2">
      <c r="A136"/>
      <c r="B136"/>
      <c r="C136"/>
      <c r="D136"/>
      <c r="E136" s="7"/>
      <c r="F136"/>
      <c r="G136"/>
      <c r="H136" s="10"/>
      <c r="I136" s="10"/>
      <c r="J136" s="10"/>
      <c r="K136" s="10"/>
      <c r="L136" s="10"/>
      <c r="M136" s="51"/>
    </row>
    <row r="137" spans="1:13" s="14" customFormat="1" x14ac:dyDescent="0.2">
      <c r="A137"/>
      <c r="B137"/>
      <c r="C137"/>
      <c r="D137"/>
      <c r="E137" s="7"/>
      <c r="F137"/>
      <c r="G137"/>
      <c r="H137" s="10"/>
      <c r="I137" s="10"/>
      <c r="J137" s="10"/>
      <c r="K137" s="10"/>
      <c r="L137" s="10"/>
      <c r="M137" s="51"/>
    </row>
    <row r="138" spans="1:13" s="14" customFormat="1" x14ac:dyDescent="0.2">
      <c r="A138"/>
      <c r="B138"/>
      <c r="C138"/>
      <c r="D138"/>
      <c r="E138" s="7"/>
      <c r="F138"/>
      <c r="G138"/>
      <c r="H138" s="10"/>
      <c r="I138" s="10"/>
      <c r="J138" s="10"/>
      <c r="K138" s="10"/>
      <c r="L138" s="10"/>
      <c r="M138" s="51"/>
    </row>
    <row r="139" spans="1:13" s="14" customFormat="1" x14ac:dyDescent="0.2">
      <c r="A139"/>
      <c r="B139"/>
      <c r="C139"/>
      <c r="D139"/>
      <c r="E139" s="7"/>
      <c r="F139"/>
      <c r="G139"/>
      <c r="H139" s="10"/>
      <c r="I139" s="10"/>
      <c r="J139" s="10"/>
      <c r="K139" s="10"/>
      <c r="L139" s="10"/>
      <c r="M139" s="51"/>
    </row>
    <row r="140" spans="1:13" s="14" customFormat="1" x14ac:dyDescent="0.2">
      <c r="A140"/>
      <c r="B140"/>
      <c r="C140"/>
      <c r="D140"/>
      <c r="E140" s="7"/>
      <c r="F140"/>
      <c r="G140"/>
      <c r="H140" s="10"/>
      <c r="I140" s="10"/>
      <c r="J140" s="10"/>
      <c r="K140" s="10"/>
      <c r="L140" s="10"/>
      <c r="M140" s="51"/>
    </row>
    <row r="141" spans="1:13" s="14" customFormat="1" x14ac:dyDescent="0.2">
      <c r="A141"/>
      <c r="B141"/>
      <c r="C141"/>
      <c r="D141"/>
      <c r="E141" s="7"/>
      <c r="F141"/>
      <c r="G141"/>
      <c r="H141" s="10"/>
      <c r="I141" s="10"/>
      <c r="J141" s="10"/>
      <c r="K141" s="10"/>
      <c r="L141" s="10"/>
      <c r="M141" s="51"/>
    </row>
    <row r="142" spans="1:13" s="14" customFormat="1" x14ac:dyDescent="0.2">
      <c r="A142"/>
      <c r="B142"/>
      <c r="C142"/>
      <c r="D142"/>
      <c r="E142" s="7"/>
      <c r="F142"/>
      <c r="G142"/>
      <c r="H142" s="10"/>
      <c r="I142" s="10"/>
      <c r="J142" s="10"/>
      <c r="K142" s="10"/>
      <c r="L142" s="10"/>
      <c r="M142" s="51"/>
    </row>
    <row r="143" spans="1:13" s="14" customFormat="1" x14ac:dyDescent="0.2">
      <c r="A143"/>
      <c r="B143"/>
      <c r="C143"/>
      <c r="D143"/>
      <c r="E143" s="7"/>
      <c r="F143"/>
      <c r="G143"/>
      <c r="H143" s="10"/>
      <c r="I143" s="10"/>
      <c r="J143" s="10"/>
      <c r="K143" s="10"/>
      <c r="L143" s="10"/>
      <c r="M143" s="51"/>
    </row>
    <row r="144" spans="1:13" s="14" customFormat="1" x14ac:dyDescent="0.2">
      <c r="A144"/>
      <c r="B144"/>
      <c r="C144"/>
      <c r="D144"/>
      <c r="E144" s="7"/>
      <c r="F144"/>
      <c r="G144"/>
      <c r="H144" s="10"/>
      <c r="I144" s="10"/>
      <c r="J144" s="10"/>
      <c r="K144" s="10"/>
      <c r="L144" s="10"/>
      <c r="M144" s="51"/>
    </row>
    <row r="145" spans="1:13" s="14" customFormat="1" x14ac:dyDescent="0.2">
      <c r="A145"/>
      <c r="B145"/>
      <c r="C145"/>
      <c r="D145"/>
      <c r="E145" s="7"/>
      <c r="F145"/>
      <c r="G145"/>
      <c r="H145" s="10"/>
      <c r="I145" s="10"/>
      <c r="J145" s="10"/>
      <c r="K145" s="10"/>
      <c r="L145" s="10"/>
      <c r="M145" s="51"/>
    </row>
    <row r="146" spans="1:13" s="14" customFormat="1" x14ac:dyDescent="0.2">
      <c r="A146"/>
      <c r="B146"/>
      <c r="C146"/>
      <c r="D146"/>
      <c r="E146" s="7"/>
      <c r="F146"/>
      <c r="G146"/>
      <c r="H146" s="10"/>
      <c r="I146" s="10"/>
      <c r="J146" s="10"/>
      <c r="K146" s="10"/>
      <c r="L146" s="10"/>
      <c r="M146" s="51"/>
    </row>
    <row r="147" spans="1:13" s="14" customFormat="1" x14ac:dyDescent="0.2">
      <c r="A147"/>
      <c r="B147"/>
      <c r="C147"/>
      <c r="D147"/>
      <c r="E147" s="7"/>
      <c r="F147"/>
      <c r="G147"/>
      <c r="H147" s="10"/>
      <c r="I147" s="10"/>
      <c r="J147" s="10"/>
      <c r="K147" s="10"/>
      <c r="L147" s="10"/>
      <c r="M147" s="51"/>
    </row>
    <row r="148" spans="1:13" s="14" customFormat="1" x14ac:dyDescent="0.2">
      <c r="A148"/>
      <c r="B148"/>
      <c r="C148"/>
      <c r="D148"/>
      <c r="E148" s="7"/>
      <c r="F148"/>
      <c r="G148"/>
      <c r="H148" s="10"/>
      <c r="I148" s="10"/>
      <c r="J148" s="10"/>
      <c r="K148" s="10"/>
      <c r="L148" s="10"/>
      <c r="M148" s="51"/>
    </row>
    <row r="149" spans="1:13" s="14" customFormat="1" x14ac:dyDescent="0.2">
      <c r="A149"/>
      <c r="B149"/>
      <c r="C149"/>
      <c r="D149"/>
      <c r="E149" s="7"/>
      <c r="F149"/>
      <c r="G149"/>
      <c r="H149" s="10"/>
      <c r="I149" s="10"/>
      <c r="J149" s="10"/>
      <c r="K149" s="10"/>
      <c r="L149" s="10"/>
      <c r="M149" s="51"/>
    </row>
    <row r="150" spans="1:13" s="14" customFormat="1" x14ac:dyDescent="0.2">
      <c r="A150"/>
      <c r="B150"/>
      <c r="C150"/>
      <c r="D150"/>
      <c r="E150" s="7"/>
      <c r="F150"/>
      <c r="G150"/>
      <c r="H150" s="10"/>
      <c r="I150" s="10"/>
      <c r="J150" s="10"/>
      <c r="K150" s="10"/>
      <c r="L150" s="10"/>
      <c r="M150" s="51"/>
    </row>
    <row r="151" spans="1:13" s="14" customFormat="1" x14ac:dyDescent="0.2">
      <c r="A151"/>
      <c r="B151"/>
      <c r="C151"/>
      <c r="D151"/>
      <c r="E151" s="7"/>
      <c r="F151"/>
      <c r="G151"/>
      <c r="H151" s="10"/>
      <c r="I151" s="10"/>
      <c r="J151" s="10"/>
      <c r="K151" s="10"/>
      <c r="L151" s="10"/>
      <c r="M151" s="51"/>
    </row>
    <row r="152" spans="1:13" s="14" customFormat="1" x14ac:dyDescent="0.2">
      <c r="A152"/>
      <c r="B152"/>
      <c r="C152"/>
      <c r="D152"/>
      <c r="E152" s="7"/>
      <c r="F152"/>
      <c r="G152"/>
      <c r="H152" s="10"/>
      <c r="I152" s="10"/>
      <c r="J152" s="10"/>
      <c r="K152" s="10"/>
      <c r="L152" s="10"/>
      <c r="M152" s="51"/>
    </row>
    <row r="153" spans="1:13" s="14" customFormat="1" x14ac:dyDescent="0.2">
      <c r="A153"/>
      <c r="B153"/>
      <c r="C153"/>
      <c r="D153"/>
      <c r="E153" s="7"/>
      <c r="F153"/>
      <c r="G153"/>
      <c r="H153" s="10"/>
      <c r="I153" s="10"/>
      <c r="J153" s="10"/>
      <c r="K153" s="10"/>
      <c r="L153" s="10"/>
      <c r="M153" s="51"/>
    </row>
    <row r="154" spans="1:13" s="14" customFormat="1" x14ac:dyDescent="0.2">
      <c r="A154"/>
      <c r="B154"/>
      <c r="C154"/>
      <c r="D154"/>
      <c r="E154" s="7"/>
      <c r="F154"/>
      <c r="G154"/>
      <c r="H154" s="10"/>
      <c r="I154" s="10"/>
      <c r="J154" s="10"/>
      <c r="K154" s="10"/>
      <c r="L154" s="10"/>
      <c r="M154" s="51"/>
    </row>
    <row r="155" spans="1:13" s="14" customFormat="1" x14ac:dyDescent="0.2">
      <c r="A155"/>
      <c r="B155"/>
      <c r="C155"/>
      <c r="D155"/>
      <c r="E155" s="7"/>
      <c r="F155"/>
      <c r="G155"/>
      <c r="H155" s="10"/>
      <c r="I155" s="10"/>
      <c r="J155" s="10"/>
      <c r="K155" s="10"/>
      <c r="L155" s="10"/>
      <c r="M155" s="51"/>
    </row>
    <row r="156" spans="1:13" s="14" customFormat="1" x14ac:dyDescent="0.2">
      <c r="A156"/>
      <c r="B156"/>
      <c r="C156"/>
      <c r="D156"/>
      <c r="E156" s="7"/>
      <c r="F156"/>
      <c r="G156"/>
      <c r="H156" s="10"/>
      <c r="I156" s="10"/>
      <c r="J156" s="10"/>
      <c r="K156" s="10"/>
      <c r="L156" s="10"/>
      <c r="M156" s="51"/>
    </row>
    <row r="157" spans="1:13" s="14" customFormat="1" x14ac:dyDescent="0.2">
      <c r="A157"/>
      <c r="B157"/>
      <c r="C157"/>
      <c r="D157"/>
      <c r="E157" s="7"/>
      <c r="F157"/>
      <c r="G157"/>
      <c r="H157" s="10"/>
      <c r="I157" s="10"/>
      <c r="J157" s="10"/>
      <c r="K157" s="10"/>
      <c r="L157" s="10"/>
      <c r="M157" s="51"/>
    </row>
    <row r="158" spans="1:13" s="14" customFormat="1" x14ac:dyDescent="0.2">
      <c r="A158"/>
      <c r="B158"/>
      <c r="C158"/>
      <c r="D158"/>
      <c r="E158" s="7"/>
      <c r="F158"/>
      <c r="G158"/>
      <c r="H158" s="10"/>
      <c r="I158" s="10"/>
      <c r="J158" s="10"/>
      <c r="K158" s="10"/>
      <c r="L158" s="10"/>
      <c r="M158" s="51"/>
    </row>
    <row r="159" spans="1:13" s="14" customFormat="1" x14ac:dyDescent="0.2">
      <c r="A159"/>
      <c r="B159"/>
      <c r="C159"/>
      <c r="D159"/>
      <c r="E159" s="7"/>
      <c r="F159"/>
      <c r="G159"/>
      <c r="H159" s="10"/>
      <c r="I159" s="10"/>
      <c r="J159" s="10"/>
      <c r="K159" s="10"/>
      <c r="L159" s="10"/>
      <c r="M159" s="51"/>
    </row>
    <row r="160" spans="1:13" s="14" customFormat="1" x14ac:dyDescent="0.2">
      <c r="A160"/>
      <c r="B160"/>
      <c r="C160"/>
      <c r="D160"/>
      <c r="E160" s="7"/>
      <c r="F160"/>
      <c r="G160"/>
      <c r="H160" s="10"/>
      <c r="I160" s="10"/>
      <c r="J160" s="10"/>
      <c r="K160" s="10"/>
      <c r="L160" s="10"/>
      <c r="M160" s="51"/>
    </row>
    <row r="161" spans="1:13" s="14" customFormat="1" x14ac:dyDescent="0.2">
      <c r="A161"/>
      <c r="B161"/>
      <c r="C161"/>
      <c r="D161"/>
      <c r="E161" s="7"/>
      <c r="F161"/>
      <c r="G161"/>
      <c r="H161" s="10"/>
      <c r="I161" s="10"/>
      <c r="J161" s="10"/>
      <c r="K161" s="10"/>
      <c r="L161" s="10"/>
      <c r="M161" s="51"/>
    </row>
    <row r="162" spans="1:13" s="14" customFormat="1" x14ac:dyDescent="0.2">
      <c r="A162"/>
      <c r="B162"/>
      <c r="C162"/>
      <c r="D162"/>
      <c r="E162" s="7"/>
      <c r="F162"/>
      <c r="G162"/>
      <c r="H162" s="10"/>
      <c r="I162" s="10"/>
      <c r="J162" s="10"/>
      <c r="K162" s="10"/>
      <c r="L162" s="10"/>
      <c r="M162" s="51"/>
    </row>
    <row r="163" spans="1:13" s="14" customFormat="1" x14ac:dyDescent="0.2">
      <c r="A163"/>
      <c r="B163"/>
      <c r="C163"/>
      <c r="D163"/>
      <c r="E163" s="7"/>
      <c r="F163"/>
      <c r="G163"/>
      <c r="H163" s="10"/>
      <c r="I163" s="10"/>
      <c r="J163" s="10"/>
      <c r="K163" s="10"/>
      <c r="L163" s="10"/>
      <c r="M163" s="51"/>
    </row>
    <row r="164" spans="1:13" s="14" customFormat="1" x14ac:dyDescent="0.2">
      <c r="A164"/>
      <c r="B164"/>
      <c r="C164"/>
      <c r="D164"/>
      <c r="E164" s="7"/>
      <c r="F164"/>
      <c r="G164"/>
      <c r="H164" s="10"/>
      <c r="I164" s="10"/>
      <c r="J164" s="10"/>
      <c r="K164" s="10"/>
      <c r="L164" s="10"/>
      <c r="M164" s="51"/>
    </row>
    <row r="165" spans="1:13" s="14" customFormat="1" x14ac:dyDescent="0.2">
      <c r="A165"/>
      <c r="B165"/>
      <c r="C165"/>
      <c r="D165"/>
      <c r="E165" s="7"/>
      <c r="F165"/>
      <c r="G165"/>
      <c r="H165" s="10"/>
      <c r="I165" s="10"/>
      <c r="J165" s="10"/>
      <c r="K165" s="10"/>
      <c r="L165" s="10"/>
      <c r="M165" s="51"/>
    </row>
    <row r="166" spans="1:13" s="14" customFormat="1" x14ac:dyDescent="0.2">
      <c r="A166"/>
      <c r="B166"/>
      <c r="C166"/>
      <c r="D166"/>
      <c r="E166" s="7"/>
      <c r="F166"/>
      <c r="G166"/>
      <c r="H166" s="10"/>
      <c r="I166" s="10"/>
      <c r="J166" s="10"/>
      <c r="K166" s="10"/>
      <c r="L166" s="10"/>
      <c r="M166" s="51"/>
    </row>
    <row r="167" spans="1:13" s="14" customFormat="1" x14ac:dyDescent="0.2">
      <c r="A167"/>
      <c r="B167"/>
      <c r="C167"/>
      <c r="D167"/>
      <c r="E167" s="7"/>
      <c r="F167"/>
      <c r="G167"/>
      <c r="H167" s="10"/>
      <c r="I167" s="10"/>
      <c r="J167" s="10"/>
      <c r="K167" s="10"/>
      <c r="L167" s="10"/>
      <c r="M167" s="51"/>
    </row>
    <row r="168" spans="1:13" s="14" customFormat="1" x14ac:dyDescent="0.2">
      <c r="A168"/>
      <c r="B168"/>
      <c r="C168"/>
      <c r="D168"/>
      <c r="E168" s="7"/>
      <c r="F168"/>
      <c r="G168"/>
      <c r="H168" s="10"/>
      <c r="I168" s="10"/>
      <c r="J168" s="10"/>
      <c r="K168" s="10"/>
      <c r="L168" s="10"/>
      <c r="M168" s="51"/>
    </row>
    <row r="169" spans="1:13" s="14" customFormat="1" x14ac:dyDescent="0.2">
      <c r="A169"/>
      <c r="B169"/>
      <c r="C169"/>
      <c r="D169"/>
      <c r="E169" s="7"/>
      <c r="F169"/>
      <c r="G169"/>
      <c r="H169" s="10"/>
      <c r="I169" s="10"/>
      <c r="J169" s="10"/>
      <c r="K169" s="10"/>
      <c r="L169" s="10"/>
      <c r="M169" s="51"/>
    </row>
    <row r="170" spans="1:13" s="14" customFormat="1" x14ac:dyDescent="0.2">
      <c r="A170"/>
      <c r="B170"/>
      <c r="C170"/>
      <c r="D170"/>
      <c r="E170" s="7"/>
      <c r="F170"/>
      <c r="G170"/>
      <c r="H170" s="10"/>
      <c r="I170" s="10"/>
      <c r="J170" s="10"/>
      <c r="K170" s="10"/>
      <c r="L170" s="10"/>
      <c r="M170" s="51"/>
    </row>
    <row r="171" spans="1:13" s="14" customFormat="1" x14ac:dyDescent="0.2">
      <c r="A171"/>
      <c r="B171"/>
      <c r="C171"/>
      <c r="D171"/>
      <c r="E171" s="7"/>
      <c r="F171"/>
      <c r="G171"/>
      <c r="H171" s="10"/>
      <c r="I171" s="10"/>
      <c r="J171" s="10"/>
      <c r="K171" s="10"/>
      <c r="L171" s="10"/>
      <c r="M171" s="51"/>
    </row>
    <row r="172" spans="1:13" s="14" customFormat="1" x14ac:dyDescent="0.2">
      <c r="A172"/>
      <c r="B172"/>
      <c r="C172"/>
      <c r="D172"/>
      <c r="E172" s="7"/>
      <c r="F172"/>
      <c r="G172"/>
      <c r="H172" s="10"/>
      <c r="I172" s="10"/>
      <c r="J172" s="10"/>
      <c r="K172" s="10"/>
      <c r="L172" s="10"/>
      <c r="M172" s="51"/>
    </row>
    <row r="173" spans="1:13" s="14" customFormat="1" x14ac:dyDescent="0.2">
      <c r="A173"/>
      <c r="B173"/>
      <c r="C173"/>
      <c r="D173"/>
      <c r="E173" s="7"/>
      <c r="F173"/>
      <c r="G173"/>
      <c r="H173" s="10"/>
      <c r="I173" s="10"/>
      <c r="J173" s="10"/>
      <c r="K173" s="10"/>
      <c r="L173" s="10"/>
      <c r="M173" s="51"/>
    </row>
    <row r="174" spans="1:13" s="14" customFormat="1" x14ac:dyDescent="0.2">
      <c r="A174"/>
      <c r="B174"/>
      <c r="C174"/>
      <c r="D174"/>
      <c r="E174" s="7"/>
      <c r="F174"/>
      <c r="G174"/>
      <c r="H174" s="10"/>
      <c r="I174" s="10"/>
      <c r="J174" s="10"/>
      <c r="K174" s="10"/>
      <c r="L174" s="10"/>
      <c r="M174" s="51"/>
    </row>
    <row r="175" spans="1:13" s="14" customFormat="1" x14ac:dyDescent="0.2">
      <c r="A175"/>
      <c r="B175"/>
      <c r="C175"/>
      <c r="D175"/>
      <c r="E175" s="7"/>
      <c r="F175"/>
      <c r="G175"/>
      <c r="H175" s="10"/>
      <c r="I175" s="10"/>
      <c r="J175" s="10"/>
      <c r="K175" s="10"/>
      <c r="L175" s="10"/>
      <c r="M175" s="51"/>
    </row>
    <row r="176" spans="1:13" s="14" customFormat="1" x14ac:dyDescent="0.2">
      <c r="A176"/>
      <c r="B176"/>
      <c r="C176"/>
      <c r="D176"/>
      <c r="E176" s="7"/>
      <c r="F176"/>
      <c r="G176"/>
      <c r="H176" s="10"/>
      <c r="I176" s="10"/>
      <c r="J176" s="10"/>
      <c r="K176" s="10"/>
      <c r="L176" s="10"/>
      <c r="M176" s="51"/>
    </row>
    <row r="177" spans="1:13" s="14" customFormat="1" x14ac:dyDescent="0.2">
      <c r="A177"/>
      <c r="B177"/>
      <c r="C177"/>
      <c r="D177"/>
      <c r="E177" s="7"/>
      <c r="F177"/>
      <c r="G177"/>
      <c r="H177" s="10"/>
      <c r="I177" s="10"/>
      <c r="J177" s="10"/>
      <c r="K177" s="10"/>
      <c r="L177" s="10"/>
      <c r="M177" s="51"/>
    </row>
    <row r="178" spans="1:13" s="14" customFormat="1" x14ac:dyDescent="0.2">
      <c r="A178"/>
      <c r="B178"/>
      <c r="C178"/>
      <c r="D178"/>
      <c r="E178" s="7"/>
      <c r="F178"/>
      <c r="G178"/>
      <c r="H178" s="10"/>
      <c r="I178" s="10"/>
      <c r="J178" s="10"/>
      <c r="K178" s="10"/>
      <c r="L178" s="10"/>
      <c r="M178" s="51"/>
    </row>
    <row r="179" spans="1:13" s="14" customFormat="1" x14ac:dyDescent="0.2">
      <c r="A179"/>
      <c r="B179"/>
      <c r="C179"/>
      <c r="D179"/>
      <c r="E179" s="7"/>
      <c r="F179"/>
      <c r="G179"/>
      <c r="H179" s="10"/>
      <c r="I179" s="10"/>
      <c r="J179" s="10"/>
      <c r="K179" s="10"/>
      <c r="L179" s="10"/>
      <c r="M179" s="51"/>
    </row>
    <row r="180" spans="1:13" s="14" customFormat="1" x14ac:dyDescent="0.2">
      <c r="A180"/>
      <c r="B180"/>
      <c r="C180"/>
      <c r="D180"/>
      <c r="E180" s="7"/>
      <c r="F180"/>
      <c r="G180"/>
      <c r="H180" s="10"/>
      <c r="I180" s="10"/>
      <c r="J180" s="10"/>
      <c r="K180" s="10"/>
      <c r="L180" s="10"/>
      <c r="M180" s="51"/>
    </row>
    <row r="181" spans="1:13" s="14" customFormat="1" x14ac:dyDescent="0.2">
      <c r="A181"/>
      <c r="B181"/>
      <c r="C181"/>
      <c r="D181"/>
      <c r="E181" s="7"/>
      <c r="F181"/>
      <c r="G181"/>
      <c r="H181" s="10"/>
      <c r="I181" s="10"/>
      <c r="J181" s="10"/>
      <c r="K181" s="10"/>
      <c r="L181" s="10"/>
      <c r="M181" s="51"/>
    </row>
    <row r="182" spans="1:13" s="14" customFormat="1" x14ac:dyDescent="0.2">
      <c r="A182"/>
      <c r="B182"/>
      <c r="C182"/>
      <c r="D182"/>
      <c r="E182" s="7"/>
      <c r="F182"/>
      <c r="G182"/>
      <c r="H182" s="10"/>
      <c r="I182" s="10"/>
      <c r="J182" s="10"/>
      <c r="K182" s="10"/>
      <c r="L182" s="10"/>
      <c r="M182" s="51"/>
    </row>
    <row r="183" spans="1:13" s="14" customFormat="1" x14ac:dyDescent="0.2">
      <c r="A183"/>
      <c r="B183"/>
      <c r="C183"/>
      <c r="D183"/>
      <c r="E183" s="7"/>
      <c r="F183"/>
      <c r="G183"/>
      <c r="H183" s="10"/>
      <c r="I183" s="10"/>
      <c r="J183" s="10"/>
      <c r="K183" s="10"/>
      <c r="L183" s="10"/>
      <c r="M183" s="51"/>
    </row>
    <row r="184" spans="1:13" s="14" customFormat="1" x14ac:dyDescent="0.2">
      <c r="A184"/>
      <c r="B184"/>
      <c r="C184"/>
      <c r="D184"/>
      <c r="E184" s="7"/>
      <c r="F184"/>
      <c r="G184"/>
      <c r="H184" s="10"/>
      <c r="I184" s="10"/>
      <c r="J184" s="10"/>
      <c r="K184" s="10"/>
      <c r="L184" s="10"/>
      <c r="M184" s="51"/>
    </row>
    <row r="185" spans="1:13" s="14" customFormat="1" x14ac:dyDescent="0.2">
      <c r="A185"/>
      <c r="B185"/>
      <c r="C185"/>
      <c r="D185"/>
      <c r="E185" s="7"/>
      <c r="F185"/>
      <c r="G185"/>
      <c r="H185" s="10"/>
      <c r="I185" s="10"/>
      <c r="J185" s="10"/>
      <c r="K185" s="10"/>
      <c r="L185" s="10"/>
      <c r="M185" s="51"/>
    </row>
    <row r="186" spans="1:13" s="14" customFormat="1" x14ac:dyDescent="0.2">
      <c r="A186"/>
      <c r="B186"/>
      <c r="C186"/>
      <c r="D186"/>
      <c r="E186" s="7"/>
      <c r="F186"/>
      <c r="G186"/>
      <c r="H186" s="10"/>
      <c r="I186" s="10"/>
      <c r="J186" s="10"/>
      <c r="K186" s="10"/>
      <c r="L186" s="10"/>
      <c r="M186" s="51"/>
    </row>
    <row r="187" spans="1:13" s="14" customFormat="1" x14ac:dyDescent="0.2">
      <c r="A187"/>
      <c r="B187"/>
      <c r="C187"/>
      <c r="D187"/>
      <c r="E187" s="7"/>
      <c r="F187"/>
      <c r="G187"/>
      <c r="H187" s="10"/>
      <c r="I187" s="10"/>
      <c r="J187" s="10"/>
      <c r="K187" s="10"/>
      <c r="L187" s="10"/>
      <c r="M187" s="51"/>
    </row>
    <row r="188" spans="1:13" s="14" customFormat="1" x14ac:dyDescent="0.2">
      <c r="A188"/>
      <c r="B188"/>
      <c r="C188"/>
      <c r="D188"/>
      <c r="E188" s="7"/>
      <c r="F188"/>
      <c r="G188"/>
      <c r="H188" s="10"/>
      <c r="I188" s="10"/>
      <c r="J188" s="10"/>
      <c r="K188" s="10"/>
      <c r="L188" s="10"/>
      <c r="M188" s="51"/>
    </row>
    <row r="189" spans="1:13" s="14" customFormat="1" x14ac:dyDescent="0.2">
      <c r="A189"/>
      <c r="B189"/>
      <c r="C189"/>
      <c r="D189"/>
      <c r="E189" s="7"/>
      <c r="F189"/>
      <c r="G189"/>
      <c r="H189" s="10"/>
      <c r="I189" s="10"/>
      <c r="J189" s="10"/>
      <c r="K189" s="10"/>
      <c r="L189" s="10"/>
      <c r="M189" s="51"/>
    </row>
    <row r="190" spans="1:13" s="14" customFormat="1" x14ac:dyDescent="0.2">
      <c r="A190"/>
      <c r="B190"/>
      <c r="C190"/>
      <c r="D190"/>
      <c r="E190" s="7"/>
      <c r="F190"/>
      <c r="G190"/>
      <c r="H190" s="10"/>
      <c r="I190" s="10"/>
      <c r="J190" s="10"/>
      <c r="K190" s="10"/>
      <c r="L190" s="10"/>
      <c r="M190" s="51"/>
    </row>
    <row r="191" spans="1:13" s="14" customFormat="1" x14ac:dyDescent="0.2">
      <c r="A191"/>
      <c r="B191"/>
      <c r="C191"/>
      <c r="D191"/>
      <c r="E191" s="7"/>
      <c r="F191"/>
      <c r="G191"/>
      <c r="H191" s="10"/>
      <c r="I191" s="10"/>
      <c r="J191" s="10"/>
      <c r="K191" s="10"/>
      <c r="L191" s="10"/>
      <c r="M191" s="51"/>
    </row>
    <row r="192" spans="1:13" s="14" customFormat="1" x14ac:dyDescent="0.2">
      <c r="A192"/>
      <c r="B192"/>
      <c r="C192"/>
      <c r="D192"/>
      <c r="E192" s="7"/>
      <c r="F192"/>
      <c r="G192"/>
      <c r="H192" s="10"/>
      <c r="I192" s="10"/>
      <c r="J192" s="10"/>
      <c r="K192" s="10"/>
      <c r="L192" s="10"/>
      <c r="M192" s="51"/>
    </row>
    <row r="193" spans="1:13" s="14" customFormat="1" x14ac:dyDescent="0.2">
      <c r="A193"/>
      <c r="B193"/>
      <c r="C193"/>
      <c r="D193"/>
      <c r="E193" s="7"/>
      <c r="F193"/>
      <c r="G193"/>
      <c r="H193" s="10"/>
      <c r="I193" s="10"/>
      <c r="J193" s="10"/>
      <c r="K193" s="10"/>
      <c r="L193" s="10"/>
      <c r="M193" s="51"/>
    </row>
    <row r="194" spans="1:13" s="14" customFormat="1" x14ac:dyDescent="0.2">
      <c r="A194"/>
      <c r="B194"/>
      <c r="C194"/>
      <c r="D194"/>
      <c r="E194" s="7"/>
      <c r="F194"/>
      <c r="G194"/>
      <c r="H194" s="10"/>
      <c r="I194" s="10"/>
      <c r="J194" s="10"/>
      <c r="K194" s="10"/>
      <c r="L194" s="10"/>
      <c r="M194" s="51"/>
    </row>
    <row r="195" spans="1:13" s="14" customFormat="1" x14ac:dyDescent="0.2">
      <c r="A195"/>
      <c r="B195"/>
      <c r="C195"/>
      <c r="D195"/>
      <c r="E195" s="7"/>
      <c r="F195"/>
      <c r="G195"/>
      <c r="H195" s="10"/>
      <c r="I195" s="10"/>
      <c r="J195" s="10"/>
      <c r="K195" s="10"/>
      <c r="L195" s="10"/>
      <c r="M195" s="51"/>
    </row>
    <row r="196" spans="1:13" s="14" customFormat="1" x14ac:dyDescent="0.2">
      <c r="A196"/>
      <c r="B196"/>
      <c r="C196"/>
      <c r="D196"/>
      <c r="E196" s="7"/>
      <c r="F196"/>
      <c r="G196"/>
      <c r="H196" s="10"/>
      <c r="I196" s="10"/>
      <c r="J196" s="10"/>
      <c r="K196" s="10"/>
      <c r="L196" s="10"/>
      <c r="M196" s="51"/>
    </row>
    <row r="197" spans="1:13" s="14" customFormat="1" x14ac:dyDescent="0.2">
      <c r="A197"/>
      <c r="B197"/>
      <c r="C197"/>
      <c r="D197"/>
      <c r="E197" s="7"/>
      <c r="F197"/>
      <c r="G197"/>
      <c r="H197" s="10"/>
      <c r="I197" s="10"/>
      <c r="J197" s="10"/>
      <c r="K197" s="10"/>
      <c r="L197" s="10"/>
      <c r="M197" s="51"/>
    </row>
    <row r="198" spans="1:13" s="14" customFormat="1" x14ac:dyDescent="0.2">
      <c r="A198"/>
      <c r="B198"/>
      <c r="C198"/>
      <c r="D198"/>
      <c r="E198" s="7"/>
      <c r="F198"/>
      <c r="G198"/>
      <c r="H198" s="10"/>
      <c r="I198" s="10"/>
      <c r="J198" s="10"/>
      <c r="K198" s="10"/>
      <c r="L198" s="10"/>
      <c r="M198" s="51"/>
    </row>
    <row r="199" spans="1:13" s="14" customFormat="1" x14ac:dyDescent="0.2">
      <c r="A199"/>
      <c r="B199"/>
      <c r="C199"/>
      <c r="D199"/>
      <c r="E199" s="7"/>
      <c r="F199"/>
      <c r="G199"/>
      <c r="H199" s="10"/>
      <c r="I199" s="10"/>
      <c r="J199" s="10"/>
      <c r="K199" s="10"/>
      <c r="L199" s="10"/>
      <c r="M199" s="51"/>
    </row>
    <row r="200" spans="1:13" s="14" customFormat="1" x14ac:dyDescent="0.2">
      <c r="A200"/>
      <c r="B200"/>
      <c r="C200"/>
      <c r="D200"/>
      <c r="E200" s="7"/>
      <c r="F200"/>
      <c r="G200"/>
      <c r="H200" s="10"/>
      <c r="I200" s="10"/>
      <c r="J200" s="10"/>
      <c r="K200" s="10"/>
      <c r="L200" s="10"/>
      <c r="M200" s="51"/>
    </row>
    <row r="201" spans="1:13" s="14" customFormat="1" x14ac:dyDescent="0.2">
      <c r="A201"/>
      <c r="B201"/>
      <c r="C201"/>
      <c r="D201"/>
      <c r="E201" s="7"/>
      <c r="F201"/>
      <c r="G201"/>
      <c r="H201" s="10"/>
      <c r="I201" s="10"/>
      <c r="J201" s="10"/>
      <c r="K201" s="10"/>
      <c r="L201" s="10"/>
      <c r="M201" s="51"/>
    </row>
    <row r="202" spans="1:13" s="14" customFormat="1" x14ac:dyDescent="0.2">
      <c r="A202"/>
      <c r="B202"/>
      <c r="C202"/>
      <c r="D202"/>
      <c r="E202" s="7"/>
      <c r="F202"/>
      <c r="G202"/>
      <c r="H202" s="10"/>
      <c r="I202" s="10"/>
      <c r="J202" s="10"/>
      <c r="K202" s="10"/>
      <c r="L202" s="10"/>
      <c r="M202" s="51"/>
    </row>
    <row r="203" spans="1:13" s="14" customFormat="1" x14ac:dyDescent="0.2">
      <c r="A203"/>
      <c r="B203"/>
      <c r="C203"/>
      <c r="D203"/>
      <c r="E203" s="7"/>
      <c r="F203"/>
      <c r="G203"/>
      <c r="H203" s="10"/>
      <c r="I203" s="10"/>
      <c r="J203" s="10"/>
      <c r="K203" s="10"/>
      <c r="L203" s="10"/>
      <c r="M203" s="51"/>
    </row>
    <row r="204" spans="1:13" s="14" customFormat="1" x14ac:dyDescent="0.2">
      <c r="A204"/>
      <c r="B204"/>
      <c r="C204"/>
      <c r="D204"/>
      <c r="E204" s="7"/>
      <c r="F204"/>
      <c r="G204"/>
      <c r="H204" s="10"/>
      <c r="I204" s="10"/>
      <c r="J204" s="10"/>
      <c r="K204" s="10"/>
      <c r="L204" s="10"/>
      <c r="M204" s="51"/>
    </row>
    <row r="205" spans="1:13" s="14" customFormat="1" x14ac:dyDescent="0.2">
      <c r="A205"/>
      <c r="B205"/>
      <c r="C205"/>
      <c r="D205"/>
      <c r="E205" s="7"/>
      <c r="F205"/>
      <c r="G205"/>
      <c r="H205" s="10"/>
      <c r="I205" s="10"/>
      <c r="J205" s="10"/>
      <c r="K205" s="10"/>
      <c r="L205" s="10"/>
      <c r="M205" s="51"/>
    </row>
    <row r="206" spans="1:13" s="14" customFormat="1" x14ac:dyDescent="0.2">
      <c r="A206"/>
      <c r="B206"/>
      <c r="C206"/>
      <c r="D206"/>
      <c r="E206" s="7"/>
      <c r="F206"/>
      <c r="G206"/>
      <c r="H206" s="10"/>
      <c r="I206" s="10"/>
      <c r="J206" s="10"/>
      <c r="K206" s="10"/>
      <c r="L206" s="10"/>
      <c r="M206" s="51"/>
    </row>
    <row r="207" spans="1:13" s="14" customFormat="1" x14ac:dyDescent="0.2">
      <c r="A207"/>
      <c r="B207"/>
      <c r="C207"/>
      <c r="D207"/>
      <c r="E207" s="7"/>
      <c r="F207"/>
      <c r="G207"/>
      <c r="H207" s="10"/>
      <c r="I207" s="10"/>
      <c r="J207" s="10"/>
      <c r="K207" s="10"/>
      <c r="L207" s="10"/>
      <c r="M207" s="51"/>
    </row>
    <row r="208" spans="1:13" s="14" customFormat="1" x14ac:dyDescent="0.2">
      <c r="A208"/>
      <c r="B208"/>
      <c r="C208"/>
      <c r="D208"/>
      <c r="E208" s="7"/>
      <c r="F208"/>
      <c r="G208"/>
      <c r="H208" s="10"/>
      <c r="I208" s="10"/>
      <c r="J208" s="10"/>
      <c r="K208" s="10"/>
      <c r="L208" s="10"/>
      <c r="M208" s="51"/>
    </row>
    <row r="209" spans="1:13" s="14" customFormat="1" x14ac:dyDescent="0.2">
      <c r="A209"/>
      <c r="B209"/>
      <c r="C209"/>
      <c r="D209"/>
      <c r="E209" s="7"/>
      <c r="F209"/>
      <c r="G209"/>
      <c r="H209" s="10"/>
      <c r="I209" s="10"/>
      <c r="J209" s="10"/>
      <c r="K209" s="10"/>
      <c r="L209" s="10"/>
      <c r="M209" s="51"/>
    </row>
    <row r="210" spans="1:13" s="14" customFormat="1" x14ac:dyDescent="0.2">
      <c r="A210"/>
      <c r="B210"/>
      <c r="C210"/>
      <c r="D210"/>
      <c r="E210" s="7"/>
      <c r="F210"/>
      <c r="G210"/>
      <c r="H210" s="10"/>
      <c r="I210" s="10"/>
      <c r="J210" s="10"/>
      <c r="K210" s="10"/>
      <c r="L210" s="10"/>
      <c r="M210" s="51"/>
    </row>
    <row r="211" spans="1:13" s="14" customFormat="1" x14ac:dyDescent="0.2">
      <c r="A211"/>
      <c r="B211"/>
      <c r="C211"/>
      <c r="D211"/>
      <c r="E211" s="7"/>
      <c r="F211"/>
      <c r="G211"/>
      <c r="H211" s="10"/>
      <c r="I211" s="10"/>
      <c r="J211" s="10"/>
      <c r="K211" s="10"/>
      <c r="L211" s="10"/>
      <c r="M211" s="51"/>
    </row>
    <row r="212" spans="1:13" s="14" customFormat="1" x14ac:dyDescent="0.2">
      <c r="A212"/>
      <c r="B212"/>
      <c r="C212"/>
      <c r="D212"/>
      <c r="E212" s="7"/>
      <c r="F212"/>
      <c r="G212"/>
      <c r="H212" s="10"/>
      <c r="I212" s="10"/>
      <c r="J212" s="10"/>
      <c r="K212" s="10"/>
      <c r="L212" s="10"/>
      <c r="M212" s="51"/>
    </row>
    <row r="213" spans="1:13" s="14" customFormat="1" x14ac:dyDescent="0.2">
      <c r="A213"/>
      <c r="B213"/>
      <c r="C213"/>
      <c r="D213"/>
      <c r="E213" s="7"/>
      <c r="F213"/>
      <c r="G213"/>
      <c r="H213" s="10"/>
      <c r="I213" s="10"/>
      <c r="J213" s="10"/>
      <c r="K213" s="10"/>
      <c r="L213" s="10"/>
      <c r="M213" s="51"/>
    </row>
    <row r="214" spans="1:13" s="14" customFormat="1" x14ac:dyDescent="0.2">
      <c r="A214"/>
      <c r="B214"/>
      <c r="C214"/>
      <c r="D214"/>
      <c r="E214" s="7"/>
      <c r="F214"/>
      <c r="G214"/>
      <c r="H214" s="10"/>
      <c r="I214" s="10"/>
      <c r="J214" s="10"/>
      <c r="K214" s="10"/>
      <c r="L214" s="10"/>
      <c r="M214" s="51"/>
    </row>
    <row r="215" spans="1:13" s="14" customFormat="1" x14ac:dyDescent="0.2">
      <c r="A215"/>
      <c r="B215"/>
      <c r="C215"/>
      <c r="D215"/>
      <c r="E215" s="7"/>
      <c r="F215"/>
      <c r="G215"/>
      <c r="H215" s="10"/>
      <c r="I215" s="10"/>
      <c r="J215" s="10"/>
      <c r="K215" s="10"/>
      <c r="L215" s="10"/>
      <c r="M215" s="51"/>
    </row>
    <row r="216" spans="1:13" s="14" customFormat="1" x14ac:dyDescent="0.2">
      <c r="A216"/>
      <c r="B216"/>
      <c r="C216"/>
      <c r="D216"/>
      <c r="E216" s="7"/>
      <c r="F216"/>
      <c r="G216"/>
      <c r="H216" s="10"/>
      <c r="I216" s="10"/>
      <c r="J216" s="10"/>
      <c r="K216" s="10"/>
      <c r="L216" s="10"/>
      <c r="M216" s="51"/>
    </row>
    <row r="217" spans="1:13" s="14" customFormat="1" x14ac:dyDescent="0.2">
      <c r="A217"/>
      <c r="B217"/>
      <c r="C217"/>
      <c r="D217"/>
      <c r="E217" s="7"/>
      <c r="F217"/>
      <c r="G217"/>
      <c r="H217" s="10"/>
      <c r="I217" s="10"/>
      <c r="J217" s="10"/>
      <c r="K217" s="10"/>
      <c r="L217" s="10"/>
      <c r="M217" s="51"/>
    </row>
    <row r="218" spans="1:13" s="14" customFormat="1" x14ac:dyDescent="0.2">
      <c r="A218"/>
      <c r="B218"/>
      <c r="C218"/>
      <c r="D218"/>
      <c r="E218" s="7"/>
      <c r="F218"/>
      <c r="G218"/>
      <c r="H218" s="10"/>
      <c r="I218" s="10"/>
      <c r="J218" s="10"/>
      <c r="K218" s="10"/>
      <c r="L218" s="10"/>
      <c r="M218" s="51"/>
    </row>
    <row r="219" spans="1:13" s="14" customFormat="1" x14ac:dyDescent="0.2">
      <c r="A219"/>
      <c r="B219"/>
      <c r="C219"/>
      <c r="D219"/>
      <c r="E219" s="7"/>
      <c r="F219"/>
      <c r="G219"/>
      <c r="H219" s="10"/>
      <c r="I219" s="10"/>
      <c r="J219" s="10"/>
      <c r="K219" s="10"/>
      <c r="L219" s="10"/>
      <c r="M219" s="51"/>
    </row>
    <row r="220" spans="1:13" s="14" customFormat="1" x14ac:dyDescent="0.2">
      <c r="A220"/>
      <c r="B220"/>
      <c r="C220"/>
      <c r="D220"/>
      <c r="E220" s="7"/>
      <c r="F220"/>
      <c r="G220"/>
      <c r="H220" s="10"/>
      <c r="I220" s="10"/>
      <c r="J220" s="10"/>
      <c r="K220" s="10"/>
      <c r="L220" s="10"/>
      <c r="M220" s="51"/>
    </row>
    <row r="221" spans="1:13" s="14" customFormat="1" x14ac:dyDescent="0.2">
      <c r="A221"/>
      <c r="B221"/>
      <c r="C221"/>
      <c r="D221"/>
      <c r="E221" s="7"/>
      <c r="F221"/>
      <c r="G221"/>
      <c r="H221" s="10"/>
      <c r="I221" s="10"/>
      <c r="J221" s="10"/>
      <c r="K221" s="10"/>
      <c r="L221" s="10"/>
      <c r="M221" s="51"/>
    </row>
    <row r="222" spans="1:13" s="14" customFormat="1" x14ac:dyDescent="0.2">
      <c r="A222"/>
      <c r="B222"/>
      <c r="C222"/>
      <c r="D222"/>
      <c r="E222" s="7"/>
      <c r="F222"/>
      <c r="G222"/>
      <c r="H222" s="10"/>
      <c r="I222" s="10"/>
      <c r="J222" s="10"/>
      <c r="K222" s="10"/>
      <c r="L222" s="10"/>
      <c r="M222" s="51"/>
    </row>
    <row r="223" spans="1:13" s="14" customFormat="1" x14ac:dyDescent="0.2">
      <c r="A223"/>
      <c r="B223"/>
      <c r="C223"/>
      <c r="D223"/>
      <c r="E223" s="7"/>
      <c r="F223"/>
      <c r="G223"/>
      <c r="H223" s="10"/>
      <c r="I223" s="10"/>
      <c r="J223" s="10"/>
      <c r="K223" s="10"/>
      <c r="L223" s="10"/>
      <c r="M223" s="51"/>
    </row>
    <row r="224" spans="1:13" s="14" customFormat="1" x14ac:dyDescent="0.2">
      <c r="A224"/>
      <c r="B224"/>
      <c r="C224"/>
      <c r="D224"/>
      <c r="E224" s="7"/>
      <c r="F224"/>
      <c r="G224"/>
      <c r="H224" s="10"/>
      <c r="I224" s="10"/>
      <c r="J224" s="10"/>
      <c r="K224" s="10"/>
      <c r="L224" s="10"/>
      <c r="M224" s="51"/>
    </row>
    <row r="225" spans="1:13" s="14" customFormat="1" x14ac:dyDescent="0.2">
      <c r="A225"/>
      <c r="B225"/>
      <c r="C225"/>
      <c r="D225"/>
      <c r="E225" s="7"/>
      <c r="F225"/>
      <c r="G225"/>
      <c r="H225" s="10"/>
      <c r="I225" s="10"/>
      <c r="J225" s="10"/>
      <c r="K225" s="10"/>
      <c r="L225" s="10"/>
      <c r="M225" s="51"/>
    </row>
    <row r="226" spans="1:13" s="14" customFormat="1" x14ac:dyDescent="0.2">
      <c r="A226"/>
      <c r="B226"/>
      <c r="C226"/>
      <c r="D226"/>
      <c r="E226" s="7"/>
      <c r="F226"/>
      <c r="G226"/>
      <c r="H226" s="10"/>
      <c r="I226" s="10"/>
      <c r="J226" s="10"/>
      <c r="K226" s="10"/>
      <c r="L226" s="10"/>
      <c r="M226" s="51"/>
    </row>
    <row r="227" spans="1:13" s="14" customFormat="1" x14ac:dyDescent="0.2">
      <c r="A227"/>
      <c r="B227"/>
      <c r="C227"/>
      <c r="D227"/>
      <c r="E227" s="7"/>
      <c r="F227"/>
      <c r="G227"/>
      <c r="H227" s="10"/>
      <c r="I227" s="10"/>
      <c r="J227" s="10"/>
      <c r="K227" s="10"/>
      <c r="L227" s="10"/>
      <c r="M227" s="51"/>
    </row>
    <row r="228" spans="1:13" s="14" customFormat="1" x14ac:dyDescent="0.2">
      <c r="A228"/>
      <c r="B228"/>
      <c r="C228"/>
      <c r="D228"/>
      <c r="E228" s="7"/>
      <c r="F228"/>
      <c r="G228"/>
      <c r="H228" s="10"/>
      <c r="I228" s="10"/>
      <c r="J228" s="10"/>
      <c r="K228" s="10"/>
      <c r="L228" s="10"/>
      <c r="M228" s="51"/>
    </row>
    <row r="229" spans="1:13" s="14" customFormat="1" x14ac:dyDescent="0.2">
      <c r="A229"/>
      <c r="B229"/>
      <c r="C229"/>
      <c r="D229"/>
      <c r="E229" s="7"/>
      <c r="F229"/>
      <c r="G229"/>
      <c r="H229" s="10"/>
      <c r="I229" s="10"/>
      <c r="J229" s="10"/>
      <c r="K229" s="10"/>
      <c r="L229" s="10"/>
      <c r="M229" s="51"/>
    </row>
    <row r="230" spans="1:13" s="14" customFormat="1" x14ac:dyDescent="0.2">
      <c r="A230"/>
      <c r="B230"/>
      <c r="C230"/>
      <c r="D230"/>
      <c r="E230" s="7"/>
      <c r="F230"/>
      <c r="G230"/>
      <c r="H230" s="10"/>
      <c r="I230" s="10"/>
      <c r="J230" s="10"/>
      <c r="K230" s="10"/>
      <c r="L230" s="10"/>
      <c r="M230" s="51"/>
    </row>
    <row r="231" spans="1:13" s="14" customFormat="1" x14ac:dyDescent="0.2">
      <c r="A231"/>
      <c r="B231"/>
      <c r="C231"/>
      <c r="D231"/>
      <c r="E231" s="7"/>
      <c r="F231"/>
      <c r="G231"/>
      <c r="H231" s="10"/>
      <c r="I231" s="10"/>
      <c r="J231" s="10"/>
      <c r="K231" s="10"/>
      <c r="L231" s="10"/>
      <c r="M231" s="51"/>
    </row>
    <row r="232" spans="1:13" s="14" customFormat="1" x14ac:dyDescent="0.2">
      <c r="A232"/>
      <c r="B232"/>
      <c r="C232"/>
      <c r="D232"/>
      <c r="E232" s="7"/>
      <c r="F232"/>
      <c r="G232"/>
      <c r="H232" s="10"/>
      <c r="I232" s="10"/>
      <c r="J232" s="10"/>
      <c r="K232" s="10"/>
      <c r="L232" s="10"/>
      <c r="M232" s="51"/>
    </row>
    <row r="233" spans="1:13" s="14" customFormat="1" x14ac:dyDescent="0.2">
      <c r="A233"/>
      <c r="B233"/>
      <c r="C233"/>
      <c r="D233"/>
      <c r="E233" s="7"/>
      <c r="F233"/>
      <c r="G233"/>
      <c r="H233" s="10"/>
      <c r="I233" s="10"/>
      <c r="J233" s="10"/>
      <c r="K233" s="10"/>
      <c r="L233" s="10"/>
      <c r="M233" s="51"/>
    </row>
    <row r="234" spans="1:13" s="14" customFormat="1" x14ac:dyDescent="0.2">
      <c r="A234"/>
      <c r="B234"/>
      <c r="C234"/>
      <c r="D234"/>
      <c r="E234" s="7"/>
      <c r="F234"/>
      <c r="G234"/>
      <c r="H234" s="10"/>
      <c r="I234" s="10"/>
      <c r="J234" s="10"/>
      <c r="K234" s="10"/>
      <c r="L234" s="10"/>
      <c r="M234" s="51"/>
    </row>
    <row r="235" spans="1:13" s="14" customFormat="1" x14ac:dyDescent="0.2">
      <c r="A235"/>
      <c r="B235"/>
      <c r="C235"/>
      <c r="D235"/>
      <c r="E235" s="7"/>
      <c r="F235"/>
      <c r="G235"/>
      <c r="H235" s="10"/>
      <c r="I235" s="10"/>
      <c r="J235" s="10"/>
      <c r="K235" s="10"/>
      <c r="L235" s="10"/>
      <c r="M235" s="51"/>
    </row>
    <row r="236" spans="1:13" s="14" customFormat="1" x14ac:dyDescent="0.2">
      <c r="A236"/>
      <c r="B236"/>
      <c r="C236"/>
      <c r="D236"/>
      <c r="E236" s="7"/>
      <c r="F236"/>
      <c r="G236"/>
      <c r="H236" s="10"/>
      <c r="I236" s="10"/>
      <c r="J236" s="10"/>
      <c r="K236" s="10"/>
      <c r="L236" s="10"/>
      <c r="M236" s="51"/>
    </row>
    <row r="237" spans="1:13" s="14" customFormat="1" x14ac:dyDescent="0.2">
      <c r="A237"/>
      <c r="B237"/>
      <c r="C237"/>
      <c r="D237"/>
      <c r="E237" s="7"/>
      <c r="F237"/>
      <c r="G237"/>
      <c r="H237" s="10"/>
      <c r="I237" s="10"/>
      <c r="J237" s="10"/>
      <c r="K237" s="10"/>
      <c r="L237" s="10"/>
      <c r="M237" s="51"/>
    </row>
  </sheetData>
  <autoFilter ref="A1:M237"/>
  <pageMargins left="0.75" right="0.75" top="1" bottom="1" header="0.5" footer="0.5"/>
  <pageSetup scale="7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XFC240"/>
  <sheetViews>
    <sheetView zoomScale="120" zoomScaleNormal="120" workbookViewId="0">
      <pane ySplit="1" topLeftCell="A53" activePane="bottomLeft" state="frozen"/>
      <selection activeCell="L2" sqref="L2"/>
      <selection pane="bottomLeft" activeCell="C70" sqref="C70:C73"/>
    </sheetView>
  </sheetViews>
  <sheetFormatPr defaultColWidth="9.140625" defaultRowHeight="12.75" x14ac:dyDescent="0.2"/>
  <cols>
    <col min="1" max="1" width="11.5703125" style="3" bestFit="1" customWidth="1"/>
    <col min="2" max="2" width="22.42578125" style="3" bestFit="1" customWidth="1"/>
    <col min="3" max="3" width="9.85546875" style="3" bestFit="1" customWidth="1"/>
    <col min="4" max="4" width="7.140625" style="3" bestFit="1" customWidth="1"/>
    <col min="5" max="5" width="11.42578125" style="8" customWidth="1"/>
    <col min="6" max="7" width="7.5703125" style="3" bestFit="1" customWidth="1"/>
    <col min="8" max="8" width="8.42578125" style="11" bestFit="1" customWidth="1"/>
    <col min="9" max="9" width="11" style="11" bestFit="1" customWidth="1"/>
    <col min="10" max="10" width="15.28515625" style="11" customWidth="1"/>
    <col min="11" max="11" width="10.5703125" style="28" bestFit="1" customWidth="1"/>
    <col min="12" max="12" width="7.85546875" style="14" bestFit="1" customWidth="1"/>
    <col min="13" max="13" width="91" style="82" bestFit="1" customWidth="1"/>
    <col min="14" max="16384" width="9.140625" style="3"/>
  </cols>
  <sheetData>
    <row r="1" spans="1:16" s="1" customFormat="1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1" t="s">
        <v>5</v>
      </c>
      <c r="G1" s="1" t="s">
        <v>6</v>
      </c>
      <c r="H1" s="9" t="s">
        <v>7</v>
      </c>
      <c r="I1" s="30" t="s">
        <v>8</v>
      </c>
      <c r="J1" s="30" t="s">
        <v>9</v>
      </c>
      <c r="K1" s="25" t="s">
        <v>10</v>
      </c>
      <c r="L1" s="16" t="s">
        <v>11</v>
      </c>
      <c r="M1" s="77" t="s">
        <v>12</v>
      </c>
    </row>
    <row r="2" spans="1:16" x14ac:dyDescent="0.2">
      <c r="A2" s="2" t="s">
        <v>120</v>
      </c>
      <c r="B2" t="s">
        <v>82</v>
      </c>
      <c r="C2" s="5">
        <v>43725</v>
      </c>
      <c r="D2" s="2" t="s">
        <v>44</v>
      </c>
      <c r="E2" s="7">
        <v>14804</v>
      </c>
      <c r="F2" s="20">
        <v>156512</v>
      </c>
      <c r="G2" s="20">
        <v>516424</v>
      </c>
      <c r="H2" s="53">
        <f>-0.078-1.64</f>
        <v>-1.718</v>
      </c>
      <c r="I2" s="33"/>
      <c r="J2" s="60"/>
      <c r="K2" s="61"/>
      <c r="L2" s="60">
        <f>-(671-36)-274</f>
        <v>-909</v>
      </c>
      <c r="M2" s="59" t="s">
        <v>121</v>
      </c>
      <c r="N2" s="39"/>
      <c r="O2" s="39"/>
      <c r="P2" s="39"/>
    </row>
    <row r="3" spans="1:16" x14ac:dyDescent="0.2">
      <c r="A3" s="2" t="s">
        <v>120</v>
      </c>
      <c r="B3" t="s">
        <v>82</v>
      </c>
      <c r="C3" s="5">
        <v>43725</v>
      </c>
      <c r="D3" s="2" t="s">
        <v>46</v>
      </c>
      <c r="E3" s="7">
        <v>13390039</v>
      </c>
      <c r="F3" s="20">
        <v>156512</v>
      </c>
      <c r="G3" s="20">
        <v>516424</v>
      </c>
      <c r="H3" s="53">
        <f>-0.078-1.51</f>
        <v>-1.5880000000000001</v>
      </c>
      <c r="I3" s="19"/>
      <c r="J3" s="19"/>
      <c r="K3" s="61"/>
      <c r="L3" s="60"/>
      <c r="M3" s="59" t="s">
        <v>122</v>
      </c>
      <c r="N3" s="39"/>
      <c r="O3" s="39"/>
      <c r="P3" s="39"/>
    </row>
    <row r="4" spans="1:16" x14ac:dyDescent="0.2">
      <c r="A4" s="2" t="s">
        <v>120</v>
      </c>
      <c r="B4" t="s">
        <v>82</v>
      </c>
      <c r="C4" s="5">
        <v>43725</v>
      </c>
      <c r="D4" s="2" t="s">
        <v>23</v>
      </c>
      <c r="E4" s="7"/>
      <c r="F4" s="20"/>
      <c r="G4" s="20"/>
      <c r="H4" s="53">
        <v>-2.5047999999999999</v>
      </c>
      <c r="I4" s="19"/>
      <c r="J4" s="19"/>
      <c r="K4" s="61"/>
      <c r="L4" s="60"/>
      <c r="M4" s="45">
        <v>-2.4670000000000001</v>
      </c>
      <c r="N4" s="39"/>
      <c r="O4" s="39"/>
      <c r="P4" s="39"/>
    </row>
    <row r="5" spans="1:16" x14ac:dyDescent="0.2">
      <c r="A5" s="2" t="s">
        <v>120</v>
      </c>
      <c r="B5" t="s">
        <v>82</v>
      </c>
      <c r="C5" s="5">
        <v>43725</v>
      </c>
      <c r="D5" s="2" t="s">
        <v>21</v>
      </c>
      <c r="E5" s="7"/>
      <c r="F5" s="20">
        <v>156514</v>
      </c>
      <c r="G5" s="20">
        <v>516425</v>
      </c>
      <c r="H5" s="19">
        <v>1.6612</v>
      </c>
      <c r="I5" s="19"/>
      <c r="J5" s="19"/>
      <c r="K5" s="61"/>
      <c r="L5" s="60"/>
      <c r="M5" s="45">
        <v>1.7148000000000001</v>
      </c>
      <c r="N5" s="39"/>
      <c r="O5" s="39"/>
      <c r="P5" s="39"/>
    </row>
    <row r="6" spans="1:16" x14ac:dyDescent="0.2">
      <c r="A6" s="2" t="s">
        <v>120</v>
      </c>
      <c r="B6" t="s">
        <v>82</v>
      </c>
      <c r="C6" s="5">
        <v>43746</v>
      </c>
      <c r="D6" s="2" t="s">
        <v>44</v>
      </c>
      <c r="E6" s="7">
        <v>14804</v>
      </c>
      <c r="F6" s="20"/>
      <c r="G6" s="20"/>
      <c r="H6" s="53">
        <f>-0.078-1.64</f>
        <v>-1.718</v>
      </c>
      <c r="I6" s="19"/>
      <c r="J6" s="19"/>
      <c r="K6" s="61"/>
      <c r="L6" s="60">
        <f>-(671-36)-274</f>
        <v>-909</v>
      </c>
      <c r="M6" s="80" t="s">
        <v>104</v>
      </c>
      <c r="N6" s="39"/>
      <c r="O6" s="39"/>
      <c r="P6" s="39"/>
    </row>
    <row r="7" spans="1:16" x14ac:dyDescent="0.2">
      <c r="A7" s="2" t="s">
        <v>120</v>
      </c>
      <c r="B7" t="s">
        <v>82</v>
      </c>
      <c r="C7" s="5">
        <v>43746</v>
      </c>
      <c r="D7" s="2" t="s">
        <v>46</v>
      </c>
      <c r="E7" s="7">
        <v>13390039</v>
      </c>
      <c r="F7" s="20"/>
      <c r="G7" s="20"/>
      <c r="H7" s="53">
        <f>-0.078-1.51</f>
        <v>-1.5880000000000001</v>
      </c>
      <c r="I7" s="19"/>
      <c r="J7" s="19"/>
      <c r="K7" s="61"/>
      <c r="L7" s="60"/>
      <c r="M7" s="80" t="s">
        <v>104</v>
      </c>
      <c r="N7" s="39"/>
      <c r="O7" s="39"/>
      <c r="P7" s="39"/>
    </row>
    <row r="8" spans="1:16" x14ac:dyDescent="0.2">
      <c r="A8" s="2" t="s">
        <v>120</v>
      </c>
      <c r="B8" t="s">
        <v>82</v>
      </c>
      <c r="C8" s="5">
        <v>43746</v>
      </c>
      <c r="D8" s="2" t="s">
        <v>23</v>
      </c>
      <c r="E8" s="7"/>
      <c r="F8" s="20"/>
      <c r="G8" s="20"/>
      <c r="H8" s="53">
        <v>-2.5047999999999999</v>
      </c>
      <c r="I8" s="19"/>
      <c r="J8" s="19"/>
      <c r="K8" s="61"/>
      <c r="L8" s="60"/>
      <c r="M8" s="80" t="s">
        <v>104</v>
      </c>
      <c r="N8" s="39"/>
      <c r="O8" s="39"/>
      <c r="P8" s="39"/>
    </row>
    <row r="9" spans="1:16" x14ac:dyDescent="0.2">
      <c r="A9" s="2" t="s">
        <v>120</v>
      </c>
      <c r="B9" t="s">
        <v>82</v>
      </c>
      <c r="C9" s="5">
        <v>43746</v>
      </c>
      <c r="D9" s="2" t="s">
        <v>21</v>
      </c>
      <c r="E9" s="7"/>
      <c r="F9" s="20">
        <v>156514</v>
      </c>
      <c r="G9" s="20">
        <v>516425</v>
      </c>
      <c r="H9" s="19">
        <v>1.6612</v>
      </c>
      <c r="I9" s="19"/>
      <c r="J9" s="19"/>
      <c r="K9" s="61"/>
      <c r="L9" s="60"/>
      <c r="M9" s="80" t="s">
        <v>104</v>
      </c>
      <c r="N9" s="39"/>
      <c r="O9" s="39"/>
      <c r="P9" s="39"/>
    </row>
    <row r="10" spans="1:16" x14ac:dyDescent="0.2">
      <c r="A10" s="2" t="s">
        <v>120</v>
      </c>
      <c r="B10" t="s">
        <v>82</v>
      </c>
      <c r="C10" s="5">
        <v>43774</v>
      </c>
      <c r="D10" s="2" t="s">
        <v>44</v>
      </c>
      <c r="E10" s="7">
        <v>14804</v>
      </c>
      <c r="F10" s="20"/>
      <c r="G10" s="20"/>
      <c r="H10" s="53">
        <f>-0.078-1.64</f>
        <v>-1.718</v>
      </c>
      <c r="I10" s="19"/>
      <c r="J10" s="19"/>
      <c r="K10" s="61"/>
      <c r="L10" s="91">
        <f>-(671-36+3)-274</f>
        <v>-912</v>
      </c>
      <c r="M10" s="45">
        <f>-0.0607-1.64</f>
        <v>-1.7006999999999999</v>
      </c>
    </row>
    <row r="11" spans="1:16" x14ac:dyDescent="0.2">
      <c r="A11" s="2" t="s">
        <v>120</v>
      </c>
      <c r="B11" t="s">
        <v>82</v>
      </c>
      <c r="C11" s="5">
        <v>43774</v>
      </c>
      <c r="D11" s="2" t="s">
        <v>46</v>
      </c>
      <c r="E11" s="7">
        <v>13390039</v>
      </c>
      <c r="F11" s="20"/>
      <c r="G11" s="20"/>
      <c r="H11" s="53">
        <f>-0.078-1.51</f>
        <v>-1.5880000000000001</v>
      </c>
      <c r="I11" s="19"/>
      <c r="J11" s="19"/>
      <c r="K11" s="61"/>
      <c r="L11" s="60"/>
      <c r="M11" s="45">
        <f>-0.0607-1.51</f>
        <v>-1.5707</v>
      </c>
    </row>
    <row r="12" spans="1:16" x14ac:dyDescent="0.2">
      <c r="A12" s="2" t="s">
        <v>120</v>
      </c>
      <c r="B12" t="s">
        <v>82</v>
      </c>
      <c r="C12" s="5">
        <v>43774</v>
      </c>
      <c r="D12" s="2" t="s">
        <v>23</v>
      </c>
      <c r="E12" s="7"/>
      <c r="F12" s="20"/>
      <c r="G12" s="20"/>
      <c r="H12" s="53">
        <v>-2.5047999999999999</v>
      </c>
      <c r="I12" s="19"/>
      <c r="J12" s="19"/>
      <c r="K12" s="61"/>
      <c r="L12" s="60"/>
      <c r="M12" s="45">
        <v>-2.4702000000000002</v>
      </c>
    </row>
    <row r="13" spans="1:16" x14ac:dyDescent="0.2">
      <c r="A13" s="2" t="s">
        <v>120</v>
      </c>
      <c r="B13" t="s">
        <v>82</v>
      </c>
      <c r="C13" s="5">
        <v>43774</v>
      </c>
      <c r="D13" s="2" t="s">
        <v>21</v>
      </c>
      <c r="E13" s="7"/>
      <c r="F13" s="20">
        <v>156514</v>
      </c>
      <c r="G13" s="20">
        <v>516425</v>
      </c>
      <c r="H13" s="53">
        <v>1.7241</v>
      </c>
      <c r="I13" s="19"/>
      <c r="J13" s="19"/>
      <c r="K13" s="61"/>
      <c r="L13" s="60"/>
      <c r="M13" s="45">
        <v>1.7241</v>
      </c>
    </row>
    <row r="14" spans="1:16" x14ac:dyDescent="0.2">
      <c r="A14" s="2" t="s">
        <v>120</v>
      </c>
      <c r="B14" t="s">
        <v>82</v>
      </c>
      <c r="C14" s="5">
        <v>43801</v>
      </c>
      <c r="D14" s="2" t="s">
        <v>44</v>
      </c>
      <c r="E14" s="7">
        <v>14804</v>
      </c>
      <c r="F14" s="20"/>
      <c r="G14" s="20"/>
      <c r="H14" s="53">
        <f>-0.078-1.64</f>
        <v>-1.718</v>
      </c>
      <c r="I14" s="19"/>
      <c r="J14" s="19"/>
      <c r="K14" s="61"/>
      <c r="L14" s="60">
        <v>-912</v>
      </c>
      <c r="M14" s="45">
        <f>-0.0695-1.64</f>
        <v>-1.7094999999999998</v>
      </c>
    </row>
    <row r="15" spans="1:16" x14ac:dyDescent="0.2">
      <c r="A15" s="2" t="s">
        <v>120</v>
      </c>
      <c r="B15" t="s">
        <v>82</v>
      </c>
      <c r="C15" s="5">
        <v>43801</v>
      </c>
      <c r="D15" s="2" t="s">
        <v>46</v>
      </c>
      <c r="E15" s="7">
        <v>13390039</v>
      </c>
      <c r="F15" s="20"/>
      <c r="G15" s="20"/>
      <c r="H15" s="53">
        <f>-0.078-1.51</f>
        <v>-1.5880000000000001</v>
      </c>
      <c r="I15" s="19"/>
      <c r="J15" s="19"/>
      <c r="K15" s="61"/>
      <c r="L15" s="60"/>
      <c r="M15" s="45">
        <f>-0.0695-1.51</f>
        <v>-1.5794999999999999</v>
      </c>
    </row>
    <row r="16" spans="1:16" x14ac:dyDescent="0.2">
      <c r="A16" s="2" t="s">
        <v>120</v>
      </c>
      <c r="B16" t="s">
        <v>82</v>
      </c>
      <c r="C16" s="5">
        <v>43801</v>
      </c>
      <c r="D16" s="2" t="s">
        <v>23</v>
      </c>
      <c r="E16" s="7"/>
      <c r="F16" s="20"/>
      <c r="G16" s="20"/>
      <c r="H16" s="53">
        <v>-2.5047999999999999</v>
      </c>
      <c r="I16" s="19"/>
      <c r="J16" s="19"/>
      <c r="K16" s="61"/>
      <c r="L16" s="60"/>
      <c r="M16" s="45">
        <v>-2.4853000000000001</v>
      </c>
    </row>
    <row r="17" spans="1:16383" x14ac:dyDescent="0.2">
      <c r="A17" s="2" t="s">
        <v>120</v>
      </c>
      <c r="B17" t="s">
        <v>82</v>
      </c>
      <c r="C17" s="5">
        <v>43801</v>
      </c>
      <c r="D17" s="2" t="s">
        <v>21</v>
      </c>
      <c r="E17" s="7"/>
      <c r="F17" s="20">
        <v>156514</v>
      </c>
      <c r="G17" s="20">
        <v>516425</v>
      </c>
      <c r="H17" s="53">
        <v>1.7241</v>
      </c>
      <c r="I17" s="19"/>
      <c r="J17" s="19"/>
      <c r="K17" s="61"/>
      <c r="L17" s="60"/>
      <c r="M17" s="45">
        <v>1.694</v>
      </c>
    </row>
    <row r="18" spans="1:16383" x14ac:dyDescent="0.2">
      <c r="A18" s="2" t="s">
        <v>120</v>
      </c>
      <c r="B18" t="s">
        <v>82</v>
      </c>
      <c r="C18" s="5">
        <v>43837</v>
      </c>
      <c r="D18" s="2" t="s">
        <v>44</v>
      </c>
      <c r="E18" s="7">
        <v>14804</v>
      </c>
      <c r="F18" s="20"/>
      <c r="G18" s="20"/>
      <c r="H18" s="53">
        <v>-1.72</v>
      </c>
      <c r="I18" s="19"/>
      <c r="J18" s="19"/>
      <c r="K18" s="61"/>
      <c r="L18" s="60">
        <v>-912</v>
      </c>
      <c r="M18" s="45">
        <f>-0.08-1.64</f>
        <v>-1.72</v>
      </c>
      <c r="N18"/>
      <c r="O18" s="10"/>
      <c r="P18" s="2"/>
      <c r="Q18"/>
      <c r="R18" s="5"/>
      <c r="S18" s="2"/>
      <c r="T18" s="7"/>
      <c r="U18"/>
      <c r="V18"/>
      <c r="W18" s="10"/>
      <c r="X18" s="2"/>
      <c r="Y18"/>
      <c r="Z18" s="5"/>
      <c r="AA18" s="2"/>
      <c r="AB18" s="7"/>
      <c r="AC18"/>
      <c r="AD18"/>
      <c r="AE18" s="10"/>
      <c r="AF18" s="2"/>
      <c r="AG18"/>
      <c r="AH18" s="5"/>
      <c r="AI18" s="2"/>
      <c r="AJ18" s="7"/>
      <c r="AK18"/>
      <c r="AL18"/>
      <c r="AM18" s="10"/>
      <c r="AN18" s="2"/>
      <c r="AO18"/>
      <c r="AP18" s="5"/>
      <c r="AQ18" s="2"/>
      <c r="AR18" s="7"/>
      <c r="AS18"/>
      <c r="AT18"/>
      <c r="AU18" s="10"/>
      <c r="AV18" s="2"/>
      <c r="AW18"/>
      <c r="AX18" s="5"/>
      <c r="AY18" s="2"/>
      <c r="AZ18" s="7"/>
      <c r="BA18"/>
      <c r="BB18"/>
      <c r="BC18" s="10"/>
      <c r="BD18" s="2"/>
      <c r="BE18"/>
      <c r="BF18" s="5"/>
      <c r="BG18" s="2"/>
      <c r="BH18" s="7"/>
      <c r="BI18"/>
      <c r="BJ18"/>
      <c r="BK18" s="10"/>
      <c r="BL18" s="2"/>
      <c r="BM18"/>
      <c r="BN18" s="5"/>
      <c r="BO18" s="2"/>
      <c r="BP18" s="7"/>
      <c r="BQ18"/>
      <c r="BR18"/>
      <c r="BS18" s="10"/>
      <c r="BT18" s="2"/>
      <c r="BU18"/>
      <c r="BV18" s="5"/>
      <c r="BW18" s="2"/>
      <c r="BX18" s="7"/>
      <c r="BY18"/>
      <c r="BZ18"/>
      <c r="CA18" s="10"/>
      <c r="CB18" s="2"/>
      <c r="CC18"/>
      <c r="CD18" s="5"/>
      <c r="CE18" s="2"/>
      <c r="CF18" s="7"/>
      <c r="CG18"/>
      <c r="CH18"/>
      <c r="CI18" s="10"/>
      <c r="CJ18" s="2"/>
      <c r="CK18"/>
      <c r="CL18" s="5"/>
      <c r="CM18" s="2"/>
      <c r="CN18" s="7"/>
      <c r="CO18"/>
      <c r="CP18"/>
      <c r="CQ18" s="10"/>
      <c r="CR18" s="2"/>
      <c r="CS18"/>
      <c r="CT18" s="5"/>
      <c r="CU18" s="2"/>
      <c r="CV18" s="7"/>
      <c r="CW18"/>
      <c r="CX18"/>
      <c r="CY18" s="10"/>
      <c r="CZ18" s="2"/>
      <c r="DA18"/>
      <c r="DB18" s="5"/>
      <c r="DC18" s="2"/>
      <c r="DD18" s="7"/>
      <c r="DE18"/>
      <c r="DF18"/>
      <c r="DG18" s="10"/>
      <c r="DH18" s="2"/>
      <c r="DI18"/>
      <c r="DJ18" s="5"/>
      <c r="DK18" s="2"/>
      <c r="DL18" s="7"/>
      <c r="DM18"/>
      <c r="DN18"/>
      <c r="DO18" s="10"/>
      <c r="DP18" s="2"/>
      <c r="DQ18"/>
      <c r="DR18" s="5"/>
      <c r="DS18" s="2"/>
      <c r="DT18" s="7"/>
      <c r="DU18"/>
      <c r="DV18"/>
      <c r="DW18" s="10"/>
      <c r="DX18" s="2"/>
      <c r="DY18"/>
      <c r="DZ18" s="5"/>
      <c r="EA18" s="2"/>
      <c r="EB18" s="7"/>
      <c r="EC18"/>
      <c r="ED18"/>
      <c r="EE18" s="10"/>
      <c r="EF18" s="2"/>
      <c r="EG18"/>
      <c r="EH18" s="5"/>
      <c r="EI18" s="2"/>
      <c r="EJ18" s="7"/>
      <c r="EK18"/>
      <c r="EL18"/>
      <c r="EM18" s="10"/>
      <c r="EN18" s="2"/>
      <c r="EO18"/>
      <c r="EP18" s="5"/>
      <c r="EQ18" s="2"/>
      <c r="ER18" s="7"/>
      <c r="ES18"/>
      <c r="ET18"/>
      <c r="EU18" s="10"/>
      <c r="EV18" s="2"/>
      <c r="EW18"/>
      <c r="EX18" s="5"/>
      <c r="EY18" s="2"/>
      <c r="EZ18" s="7"/>
      <c r="FA18"/>
      <c r="FB18"/>
      <c r="FC18" s="10"/>
      <c r="FD18" s="2"/>
      <c r="FE18"/>
      <c r="FF18" s="5"/>
      <c r="FG18" s="2"/>
      <c r="FH18" s="7"/>
      <c r="FI18"/>
      <c r="FJ18"/>
      <c r="FK18" s="10"/>
      <c r="FL18" s="2"/>
      <c r="FM18"/>
      <c r="FN18" s="5"/>
      <c r="FO18" s="2"/>
      <c r="FP18" s="7"/>
      <c r="FQ18"/>
      <c r="FR18"/>
      <c r="FS18" s="10"/>
      <c r="FT18" s="2"/>
      <c r="FU18"/>
      <c r="FV18" s="5"/>
      <c r="FW18" s="2"/>
      <c r="FX18" s="7"/>
      <c r="FY18"/>
      <c r="FZ18"/>
      <c r="GA18" s="10"/>
      <c r="GB18" s="2"/>
      <c r="GC18"/>
      <c r="GD18" s="5"/>
      <c r="GE18" s="2"/>
      <c r="GF18" s="7"/>
      <c r="GG18"/>
      <c r="GH18"/>
      <c r="GI18" s="10"/>
      <c r="GJ18" s="2"/>
      <c r="GK18"/>
      <c r="GL18" s="5"/>
      <c r="GM18" s="2"/>
      <c r="GN18" s="7"/>
      <c r="GO18"/>
      <c r="GP18"/>
      <c r="GQ18" s="10"/>
      <c r="GR18" s="2"/>
      <c r="GS18"/>
      <c r="GT18" s="5"/>
      <c r="GU18" s="2"/>
      <c r="GV18" s="7"/>
      <c r="GW18"/>
      <c r="GX18"/>
      <c r="GY18" s="10"/>
      <c r="GZ18" s="2"/>
      <c r="HA18"/>
      <c r="HB18" s="5"/>
      <c r="HC18" s="2"/>
      <c r="HD18" s="7"/>
      <c r="HE18"/>
      <c r="HF18"/>
      <c r="HG18" s="10"/>
      <c r="HH18" s="2"/>
      <c r="HI18"/>
      <c r="HJ18" s="5"/>
      <c r="HK18" s="2"/>
      <c r="HL18" s="7"/>
      <c r="HM18"/>
      <c r="HN18"/>
      <c r="HO18" s="10"/>
      <c r="HP18" s="2"/>
      <c r="HQ18"/>
      <c r="HR18" s="5"/>
      <c r="HS18" s="2"/>
      <c r="HT18" s="7"/>
      <c r="HU18"/>
      <c r="HV18"/>
      <c r="HW18" s="10"/>
      <c r="HX18" s="2"/>
      <c r="HY18"/>
      <c r="HZ18" s="5"/>
      <c r="IA18" s="2"/>
      <c r="IB18" s="7"/>
      <c r="IC18"/>
      <c r="ID18"/>
      <c r="IE18" s="10"/>
      <c r="IF18" s="2"/>
      <c r="IG18"/>
      <c r="IH18" s="5"/>
      <c r="II18" s="2"/>
      <c r="IJ18" s="7"/>
      <c r="IK18"/>
      <c r="IL18"/>
      <c r="IM18" s="10"/>
      <c r="IN18" s="2"/>
      <c r="IO18"/>
      <c r="IP18" s="5"/>
      <c r="IQ18" s="2"/>
      <c r="IR18" s="7"/>
      <c r="IS18"/>
      <c r="IT18"/>
      <c r="IU18" s="10"/>
      <c r="IV18" s="2"/>
      <c r="IW18"/>
      <c r="IX18" s="5"/>
      <c r="IY18" s="2"/>
      <c r="IZ18" s="7"/>
      <c r="JA18"/>
      <c r="JB18"/>
      <c r="JC18" s="10"/>
      <c r="JD18" s="2"/>
      <c r="JE18"/>
      <c r="JF18" s="5"/>
      <c r="JG18" s="2"/>
      <c r="JH18" s="7"/>
      <c r="JI18"/>
      <c r="JJ18"/>
      <c r="JK18" s="10"/>
      <c r="JL18" s="2"/>
      <c r="JM18"/>
      <c r="JN18" s="5"/>
      <c r="JO18" s="2"/>
      <c r="JP18" s="7"/>
      <c r="JQ18"/>
      <c r="JR18"/>
      <c r="JS18" s="10"/>
      <c r="JT18" s="2"/>
      <c r="JU18"/>
      <c r="JV18" s="5"/>
      <c r="JW18" s="2"/>
      <c r="JX18" s="7"/>
      <c r="JY18"/>
      <c r="JZ18"/>
      <c r="KA18" s="10"/>
      <c r="KB18" s="2"/>
      <c r="KC18"/>
      <c r="KD18" s="5"/>
      <c r="KE18" s="2"/>
      <c r="KF18" s="7"/>
      <c r="KG18"/>
      <c r="KH18"/>
      <c r="KI18" s="10"/>
      <c r="KJ18" s="2"/>
      <c r="KK18"/>
      <c r="KL18" s="5"/>
      <c r="KM18" s="2"/>
      <c r="KN18" s="7"/>
      <c r="KO18"/>
      <c r="KP18"/>
      <c r="KQ18" s="10"/>
      <c r="KR18" s="2"/>
      <c r="KS18"/>
      <c r="KT18" s="5"/>
      <c r="KU18" s="2"/>
      <c r="KV18" s="7"/>
      <c r="KW18"/>
      <c r="KX18"/>
      <c r="KY18" s="10"/>
      <c r="KZ18" s="2"/>
      <c r="LA18"/>
      <c r="LB18" s="5"/>
      <c r="LC18" s="2"/>
      <c r="LD18" s="7"/>
      <c r="LE18"/>
      <c r="LF18"/>
      <c r="LG18" s="10"/>
      <c r="LH18" s="2"/>
      <c r="LI18"/>
      <c r="LJ18" s="5"/>
      <c r="LK18" s="2"/>
      <c r="LL18" s="7"/>
      <c r="LM18"/>
      <c r="LN18"/>
      <c r="LO18" s="10"/>
      <c r="LP18" s="2"/>
      <c r="LQ18"/>
      <c r="LR18" s="5"/>
      <c r="LS18" s="2"/>
      <c r="LT18" s="7"/>
      <c r="LU18"/>
      <c r="LV18"/>
      <c r="LW18" s="10"/>
      <c r="LX18" s="2"/>
      <c r="LY18"/>
      <c r="LZ18" s="5"/>
      <c r="MA18" s="2"/>
      <c r="MB18" s="7"/>
      <c r="MC18"/>
      <c r="MD18"/>
      <c r="ME18" s="10"/>
      <c r="MF18" s="2"/>
      <c r="MG18"/>
      <c r="MH18" s="5"/>
      <c r="MI18" s="2"/>
      <c r="MJ18" s="7"/>
      <c r="MK18"/>
      <c r="ML18"/>
      <c r="MM18" s="10"/>
      <c r="MN18" s="2"/>
      <c r="MO18"/>
      <c r="MP18" s="5"/>
      <c r="MQ18" s="2"/>
      <c r="MR18" s="7"/>
      <c r="MS18"/>
      <c r="MT18"/>
      <c r="MU18" s="10"/>
      <c r="MV18" s="2"/>
      <c r="MW18"/>
      <c r="MX18" s="5"/>
      <c r="MY18" s="2"/>
      <c r="MZ18" s="7"/>
      <c r="NA18"/>
      <c r="NB18"/>
      <c r="NC18" s="10"/>
      <c r="ND18" s="2"/>
      <c r="NE18"/>
      <c r="NF18" s="5"/>
      <c r="NG18" s="2"/>
      <c r="NH18" s="7"/>
      <c r="NI18"/>
      <c r="NJ18"/>
      <c r="NK18" s="10"/>
      <c r="NL18" s="2"/>
      <c r="NM18"/>
      <c r="NN18" s="5"/>
      <c r="NO18" s="2"/>
      <c r="NP18" s="7"/>
      <c r="NQ18"/>
      <c r="NR18"/>
      <c r="NS18" s="10"/>
      <c r="NT18" s="2"/>
      <c r="NU18"/>
      <c r="NV18" s="5"/>
      <c r="NW18" s="2"/>
      <c r="NX18" s="7"/>
      <c r="NY18"/>
      <c r="NZ18"/>
      <c r="OA18" s="10"/>
      <c r="OB18" s="2"/>
      <c r="OC18"/>
      <c r="OD18" s="5"/>
      <c r="OE18" s="2"/>
      <c r="OF18" s="7"/>
      <c r="OG18"/>
      <c r="OH18"/>
      <c r="OI18" s="10"/>
      <c r="OJ18" s="2"/>
      <c r="OK18"/>
      <c r="OL18" s="5"/>
      <c r="OM18" s="2"/>
      <c r="ON18" s="7"/>
      <c r="OO18"/>
      <c r="OP18"/>
      <c r="OQ18" s="10"/>
      <c r="OR18" s="2"/>
      <c r="OS18"/>
      <c r="OT18" s="5"/>
      <c r="OU18" s="2"/>
      <c r="OV18" s="7"/>
      <c r="OW18"/>
      <c r="OX18"/>
      <c r="OY18" s="10"/>
      <c r="OZ18" s="2"/>
      <c r="PA18"/>
      <c r="PB18" s="5"/>
      <c r="PC18" s="2"/>
      <c r="PD18" s="7"/>
      <c r="PE18"/>
      <c r="PF18"/>
      <c r="PG18" s="10"/>
      <c r="PH18" s="2"/>
      <c r="PI18"/>
      <c r="PJ18" s="5"/>
      <c r="PK18" s="2"/>
      <c r="PL18" s="7"/>
      <c r="PM18"/>
      <c r="PN18"/>
      <c r="PO18" s="10"/>
      <c r="PP18" s="2"/>
      <c r="PQ18"/>
      <c r="PR18" s="5"/>
      <c r="PS18" s="2"/>
      <c r="PT18" s="7"/>
      <c r="PU18"/>
      <c r="PV18"/>
      <c r="PW18" s="10"/>
      <c r="PX18" s="2"/>
      <c r="PY18"/>
      <c r="PZ18" s="5"/>
      <c r="QA18" s="2"/>
      <c r="QB18" s="7"/>
      <c r="QC18"/>
      <c r="QD18"/>
      <c r="QE18" s="10"/>
      <c r="QF18" s="2"/>
      <c r="QG18"/>
      <c r="QH18" s="5"/>
      <c r="QI18" s="2"/>
      <c r="QJ18" s="7"/>
      <c r="QK18"/>
      <c r="QL18"/>
      <c r="QM18" s="10"/>
      <c r="QN18" s="2"/>
      <c r="QO18"/>
      <c r="QP18" s="5"/>
      <c r="QQ18" s="2"/>
      <c r="QR18" s="7"/>
      <c r="QS18"/>
      <c r="QT18"/>
      <c r="QU18" s="10"/>
      <c r="QV18" s="2"/>
      <c r="QW18"/>
      <c r="QX18" s="5"/>
      <c r="QY18" s="2"/>
      <c r="QZ18" s="7"/>
      <c r="RA18"/>
      <c r="RB18"/>
      <c r="RC18" s="10"/>
      <c r="RD18" s="2"/>
      <c r="RE18"/>
      <c r="RF18" s="5"/>
      <c r="RG18" s="2"/>
      <c r="RH18" s="7"/>
      <c r="RI18"/>
      <c r="RJ18"/>
      <c r="RK18" s="10"/>
      <c r="RL18" s="2"/>
      <c r="RM18"/>
      <c r="RN18" s="5"/>
      <c r="RO18" s="2"/>
      <c r="RP18" s="7"/>
      <c r="RQ18"/>
      <c r="RR18"/>
      <c r="RS18" s="10"/>
      <c r="RT18" s="2"/>
      <c r="RU18"/>
      <c r="RV18" s="5"/>
      <c r="RW18" s="2"/>
      <c r="RX18" s="7"/>
      <c r="RY18"/>
      <c r="RZ18"/>
      <c r="SA18" s="10"/>
      <c r="SB18" s="2"/>
      <c r="SC18"/>
      <c r="SD18" s="5"/>
      <c r="SE18" s="2"/>
      <c r="SF18" s="7"/>
      <c r="SG18"/>
      <c r="SH18"/>
      <c r="SI18" s="10"/>
      <c r="SJ18" s="2"/>
      <c r="SK18"/>
      <c r="SL18" s="5"/>
      <c r="SM18" s="2"/>
      <c r="SN18" s="7"/>
      <c r="SO18"/>
      <c r="SP18"/>
      <c r="SQ18" s="10"/>
      <c r="SR18" s="2"/>
      <c r="SS18"/>
      <c r="ST18" s="5"/>
      <c r="SU18" s="2"/>
      <c r="SV18" s="7"/>
      <c r="SW18"/>
      <c r="SX18"/>
      <c r="SY18" s="10"/>
      <c r="SZ18" s="2"/>
      <c r="TA18"/>
      <c r="TB18" s="5"/>
      <c r="TC18" s="2"/>
      <c r="TD18" s="7"/>
      <c r="TE18"/>
      <c r="TF18"/>
      <c r="TG18" s="10"/>
      <c r="TH18" s="2"/>
      <c r="TI18"/>
      <c r="TJ18" s="5"/>
      <c r="TK18" s="2"/>
      <c r="TL18" s="7"/>
      <c r="TM18"/>
      <c r="TN18"/>
      <c r="TO18" s="10"/>
      <c r="TP18" s="2"/>
      <c r="TQ18"/>
      <c r="TR18" s="5"/>
      <c r="TS18" s="2"/>
      <c r="TT18" s="7"/>
      <c r="TU18"/>
      <c r="TV18"/>
      <c r="TW18" s="10"/>
      <c r="TX18" s="2"/>
      <c r="TY18"/>
      <c r="TZ18" s="5"/>
      <c r="UA18" s="2"/>
      <c r="UB18" s="7"/>
      <c r="UC18"/>
      <c r="UD18"/>
      <c r="UE18" s="10"/>
      <c r="UF18" s="2"/>
      <c r="UG18"/>
      <c r="UH18" s="5"/>
      <c r="UI18" s="2"/>
      <c r="UJ18" s="7"/>
      <c r="UK18"/>
      <c r="UL18"/>
      <c r="UM18" s="10"/>
      <c r="UN18" s="2"/>
      <c r="UO18"/>
      <c r="UP18" s="5"/>
      <c r="UQ18" s="2"/>
      <c r="UR18" s="7"/>
      <c r="US18"/>
      <c r="UT18"/>
      <c r="UU18" s="10"/>
      <c r="UV18" s="2"/>
      <c r="UW18"/>
      <c r="UX18" s="5"/>
      <c r="UY18" s="2"/>
      <c r="UZ18" s="7"/>
      <c r="VA18"/>
      <c r="VB18"/>
      <c r="VC18" s="10"/>
      <c r="VD18" s="2"/>
      <c r="VE18"/>
      <c r="VF18" s="5"/>
      <c r="VG18" s="2"/>
      <c r="VH18" s="7"/>
      <c r="VI18"/>
      <c r="VJ18"/>
      <c r="VK18" s="10"/>
      <c r="VL18" s="2"/>
      <c r="VM18"/>
      <c r="VN18" s="5"/>
      <c r="VO18" s="2"/>
      <c r="VP18" s="7"/>
      <c r="VQ18"/>
      <c r="VR18"/>
      <c r="VS18" s="10"/>
      <c r="VT18" s="2"/>
      <c r="VU18"/>
      <c r="VV18" s="5"/>
      <c r="VW18" s="2"/>
      <c r="VX18" s="7"/>
      <c r="VY18"/>
      <c r="VZ18"/>
      <c r="WA18" s="10"/>
      <c r="WB18" s="2"/>
      <c r="WC18"/>
      <c r="WD18" s="5"/>
      <c r="WE18" s="2"/>
      <c r="WF18" s="7"/>
      <c r="WG18"/>
      <c r="WH18"/>
      <c r="WI18" s="10"/>
      <c r="WJ18" s="2"/>
      <c r="WK18"/>
      <c r="WL18" s="5"/>
      <c r="WM18" s="2"/>
      <c r="WN18" s="7"/>
      <c r="WO18"/>
      <c r="WP18"/>
      <c r="WQ18" s="10"/>
      <c r="WR18" s="2"/>
      <c r="WS18"/>
      <c r="WT18" s="5"/>
      <c r="WU18" s="2"/>
      <c r="WV18" s="7"/>
      <c r="WW18"/>
      <c r="WX18"/>
      <c r="WY18" s="10"/>
      <c r="WZ18" s="2"/>
      <c r="XA18"/>
      <c r="XB18" s="5"/>
      <c r="XC18" s="2"/>
      <c r="XD18" s="7"/>
      <c r="XE18"/>
      <c r="XF18"/>
      <c r="XG18" s="10"/>
      <c r="XH18" s="2"/>
      <c r="XI18"/>
      <c r="XJ18" s="5"/>
      <c r="XK18" s="2"/>
      <c r="XL18" s="7"/>
      <c r="XM18"/>
      <c r="XN18"/>
      <c r="XO18" s="10"/>
      <c r="XP18" s="2"/>
      <c r="XQ18"/>
      <c r="XR18" s="5"/>
      <c r="XS18" s="2"/>
      <c r="XT18" s="7"/>
      <c r="XU18"/>
      <c r="XV18"/>
      <c r="XW18" s="10"/>
      <c r="XX18" s="2"/>
      <c r="XY18"/>
      <c r="XZ18" s="5"/>
      <c r="YA18" s="2"/>
      <c r="YB18" s="7"/>
      <c r="YC18"/>
      <c r="YD18"/>
      <c r="YE18" s="10"/>
      <c r="YF18" s="2"/>
      <c r="YG18"/>
      <c r="YH18" s="5"/>
      <c r="YI18" s="2"/>
      <c r="YJ18" s="7"/>
      <c r="YK18"/>
      <c r="YL18"/>
      <c r="YM18" s="10"/>
      <c r="YN18" s="2"/>
      <c r="YO18"/>
      <c r="YP18" s="5"/>
      <c r="YQ18" s="2"/>
      <c r="YR18" s="7"/>
      <c r="YS18"/>
      <c r="YT18"/>
      <c r="YU18" s="10"/>
      <c r="YV18" s="2"/>
      <c r="YW18"/>
      <c r="YX18" s="5"/>
      <c r="YY18" s="2"/>
      <c r="YZ18" s="7"/>
      <c r="ZA18"/>
      <c r="ZB18"/>
      <c r="ZC18" s="10"/>
      <c r="ZD18" s="2"/>
      <c r="ZE18"/>
      <c r="ZF18" s="5"/>
      <c r="ZG18" s="2"/>
      <c r="ZH18" s="7"/>
      <c r="ZI18"/>
      <c r="ZJ18"/>
      <c r="ZK18" s="10"/>
      <c r="ZL18" s="2"/>
      <c r="ZM18"/>
      <c r="ZN18" s="5"/>
      <c r="ZO18" s="2"/>
      <c r="ZP18" s="7"/>
      <c r="ZQ18"/>
      <c r="ZR18"/>
      <c r="ZS18" s="10"/>
      <c r="ZT18" s="2"/>
      <c r="ZU18"/>
      <c r="ZV18" s="5"/>
      <c r="ZW18" s="2"/>
      <c r="ZX18" s="7"/>
      <c r="ZY18"/>
      <c r="ZZ18"/>
      <c r="AAA18" s="10"/>
      <c r="AAB18" s="2"/>
      <c r="AAC18"/>
      <c r="AAD18" s="5"/>
      <c r="AAE18" s="2"/>
      <c r="AAF18" s="7"/>
      <c r="AAG18"/>
      <c r="AAH18"/>
      <c r="AAI18" s="10"/>
      <c r="AAJ18" s="2"/>
      <c r="AAK18"/>
      <c r="AAL18" s="5"/>
      <c r="AAM18" s="2"/>
      <c r="AAN18" s="7"/>
      <c r="AAO18"/>
      <c r="AAP18"/>
      <c r="AAQ18" s="10"/>
      <c r="AAR18" s="2"/>
      <c r="AAS18"/>
      <c r="AAT18" s="5"/>
      <c r="AAU18" s="2"/>
      <c r="AAV18" s="7"/>
      <c r="AAW18"/>
      <c r="AAX18"/>
      <c r="AAY18" s="10"/>
      <c r="AAZ18" s="2"/>
      <c r="ABA18"/>
      <c r="ABB18" s="5"/>
      <c r="ABC18" s="2"/>
      <c r="ABD18" s="7"/>
      <c r="ABE18"/>
      <c r="ABF18"/>
      <c r="ABG18" s="10"/>
      <c r="ABH18" s="2"/>
      <c r="ABI18"/>
      <c r="ABJ18" s="5"/>
      <c r="ABK18" s="2"/>
      <c r="ABL18" s="7"/>
      <c r="ABM18"/>
      <c r="ABN18"/>
      <c r="ABO18" s="10"/>
      <c r="ABP18" s="2"/>
      <c r="ABQ18"/>
      <c r="ABR18" s="5"/>
      <c r="ABS18" s="2"/>
      <c r="ABT18" s="7"/>
      <c r="ABU18"/>
      <c r="ABV18"/>
      <c r="ABW18" s="10"/>
      <c r="ABX18" s="2"/>
      <c r="ABY18"/>
      <c r="ABZ18" s="5"/>
      <c r="ACA18" s="2"/>
      <c r="ACB18" s="7"/>
      <c r="ACC18"/>
      <c r="ACD18"/>
      <c r="ACE18" s="10"/>
      <c r="ACF18" s="2"/>
      <c r="ACG18"/>
      <c r="ACH18" s="5"/>
      <c r="ACI18" s="2"/>
      <c r="ACJ18" s="7"/>
      <c r="ACK18"/>
      <c r="ACL18"/>
      <c r="ACM18" s="10"/>
      <c r="ACN18" s="2"/>
      <c r="ACO18"/>
      <c r="ACP18" s="5"/>
      <c r="ACQ18" s="2"/>
      <c r="ACR18" s="7"/>
      <c r="ACS18"/>
      <c r="ACT18"/>
      <c r="ACU18" s="10"/>
      <c r="ACV18" s="2"/>
      <c r="ACW18"/>
      <c r="ACX18" s="5"/>
      <c r="ACY18" s="2"/>
      <c r="ACZ18" s="7"/>
      <c r="ADA18"/>
      <c r="ADB18"/>
      <c r="ADC18" s="10"/>
      <c r="ADD18" s="2"/>
      <c r="ADE18"/>
      <c r="ADF18" s="5"/>
      <c r="ADG18" s="2"/>
      <c r="ADH18" s="7"/>
      <c r="ADI18"/>
      <c r="ADJ18"/>
      <c r="ADK18" s="10"/>
      <c r="ADL18" s="2"/>
      <c r="ADM18"/>
      <c r="ADN18" s="5"/>
      <c r="ADO18" s="2"/>
      <c r="ADP18" s="7"/>
      <c r="ADQ18"/>
      <c r="ADR18"/>
      <c r="ADS18" s="10"/>
      <c r="ADT18" s="2"/>
      <c r="ADU18"/>
      <c r="ADV18" s="5"/>
      <c r="ADW18" s="2"/>
      <c r="ADX18" s="7"/>
      <c r="ADY18"/>
      <c r="ADZ18"/>
      <c r="AEA18" s="10"/>
      <c r="AEB18" s="2"/>
      <c r="AEC18"/>
      <c r="AED18" s="5"/>
      <c r="AEE18" s="2"/>
      <c r="AEF18" s="7"/>
      <c r="AEG18"/>
      <c r="AEH18"/>
      <c r="AEI18" s="10"/>
      <c r="AEJ18" s="2"/>
      <c r="AEK18"/>
      <c r="AEL18" s="5"/>
      <c r="AEM18" s="2"/>
      <c r="AEN18" s="7"/>
      <c r="AEO18"/>
      <c r="AEP18"/>
      <c r="AEQ18" s="10"/>
      <c r="AER18" s="2"/>
      <c r="AES18"/>
      <c r="AET18" s="5"/>
      <c r="AEU18" s="2"/>
      <c r="AEV18" s="7"/>
      <c r="AEW18"/>
      <c r="AEX18"/>
      <c r="AEY18" s="10"/>
      <c r="AEZ18" s="2"/>
      <c r="AFA18"/>
      <c r="AFB18" s="5"/>
      <c r="AFC18" s="2"/>
      <c r="AFD18" s="7"/>
      <c r="AFE18"/>
      <c r="AFF18"/>
      <c r="AFG18" s="10"/>
      <c r="AFH18" s="2"/>
      <c r="AFI18"/>
      <c r="AFJ18" s="5"/>
      <c r="AFK18" s="2"/>
      <c r="AFL18" s="7"/>
      <c r="AFM18"/>
      <c r="AFN18"/>
      <c r="AFO18" s="10"/>
      <c r="AFP18" s="2"/>
      <c r="AFQ18"/>
      <c r="AFR18" s="5"/>
      <c r="AFS18" s="2"/>
      <c r="AFT18" s="7"/>
      <c r="AFU18"/>
      <c r="AFV18"/>
      <c r="AFW18" s="10"/>
      <c r="AFX18" s="2"/>
      <c r="AFY18"/>
      <c r="AFZ18" s="5"/>
      <c r="AGA18" s="2"/>
      <c r="AGB18" s="7"/>
      <c r="AGC18"/>
      <c r="AGD18"/>
      <c r="AGE18" s="10"/>
      <c r="AGF18" s="2"/>
      <c r="AGG18"/>
      <c r="AGH18" s="5"/>
      <c r="AGI18" s="2"/>
      <c r="AGJ18" s="7"/>
      <c r="AGK18"/>
      <c r="AGL18"/>
      <c r="AGM18" s="10"/>
      <c r="AGN18" s="2"/>
      <c r="AGO18"/>
      <c r="AGP18" s="5"/>
      <c r="AGQ18" s="2"/>
      <c r="AGR18" s="7"/>
      <c r="AGS18"/>
      <c r="AGT18"/>
      <c r="AGU18" s="10"/>
      <c r="AGV18" s="2"/>
      <c r="AGW18"/>
      <c r="AGX18" s="5"/>
      <c r="AGY18" s="2"/>
      <c r="AGZ18" s="7"/>
      <c r="AHA18"/>
      <c r="AHB18"/>
      <c r="AHC18" s="10"/>
      <c r="AHD18" s="2"/>
      <c r="AHE18"/>
      <c r="AHF18" s="5"/>
      <c r="AHG18" s="2"/>
      <c r="AHH18" s="7"/>
      <c r="AHI18"/>
      <c r="AHJ18"/>
      <c r="AHK18" s="10"/>
      <c r="AHL18" s="2"/>
      <c r="AHM18"/>
      <c r="AHN18" s="5"/>
      <c r="AHO18" s="2"/>
      <c r="AHP18" s="7"/>
      <c r="AHQ18"/>
      <c r="AHR18"/>
      <c r="AHS18" s="10"/>
      <c r="AHT18" s="2"/>
      <c r="AHU18"/>
      <c r="AHV18" s="5"/>
      <c r="AHW18" s="2"/>
      <c r="AHX18" s="7"/>
      <c r="AHY18"/>
      <c r="AHZ18"/>
      <c r="AIA18" s="10"/>
      <c r="AIB18" s="2"/>
      <c r="AIC18"/>
      <c r="AID18" s="5"/>
      <c r="AIE18" s="2"/>
      <c r="AIF18" s="7"/>
      <c r="AIG18"/>
      <c r="AIH18"/>
      <c r="AII18" s="10"/>
      <c r="AIJ18" s="2"/>
      <c r="AIK18"/>
      <c r="AIL18" s="5"/>
      <c r="AIM18" s="2"/>
      <c r="AIN18" s="7"/>
      <c r="AIO18"/>
      <c r="AIP18"/>
      <c r="AIQ18" s="10"/>
      <c r="AIR18" s="2"/>
      <c r="AIS18"/>
      <c r="AIT18" s="5"/>
      <c r="AIU18" s="2"/>
      <c r="AIV18" s="7"/>
      <c r="AIW18"/>
      <c r="AIX18"/>
      <c r="AIY18" s="10"/>
      <c r="AIZ18" s="2"/>
      <c r="AJA18"/>
      <c r="AJB18" s="5"/>
      <c r="AJC18" s="2"/>
      <c r="AJD18" s="7"/>
      <c r="AJE18"/>
      <c r="AJF18"/>
      <c r="AJG18" s="10"/>
      <c r="AJH18" s="2"/>
      <c r="AJI18"/>
      <c r="AJJ18" s="5"/>
      <c r="AJK18" s="2"/>
      <c r="AJL18" s="7"/>
      <c r="AJM18"/>
      <c r="AJN18"/>
      <c r="AJO18" s="10"/>
      <c r="AJP18" s="2"/>
      <c r="AJQ18"/>
      <c r="AJR18" s="5"/>
      <c r="AJS18" s="2"/>
      <c r="AJT18" s="7"/>
      <c r="AJU18"/>
      <c r="AJV18"/>
      <c r="AJW18" s="10"/>
      <c r="AJX18" s="2"/>
      <c r="AJY18"/>
      <c r="AJZ18" s="5"/>
      <c r="AKA18" s="2"/>
      <c r="AKB18" s="7"/>
      <c r="AKC18"/>
      <c r="AKD18"/>
      <c r="AKE18" s="10"/>
      <c r="AKF18" s="2"/>
      <c r="AKG18"/>
      <c r="AKH18" s="5"/>
      <c r="AKI18" s="2"/>
      <c r="AKJ18" s="7"/>
      <c r="AKK18"/>
      <c r="AKL18"/>
      <c r="AKM18" s="10"/>
      <c r="AKN18" s="2"/>
      <c r="AKO18"/>
      <c r="AKP18" s="5"/>
      <c r="AKQ18" s="2"/>
      <c r="AKR18" s="7"/>
      <c r="AKS18"/>
      <c r="AKT18"/>
      <c r="AKU18" s="10"/>
      <c r="AKV18" s="2"/>
      <c r="AKW18"/>
      <c r="AKX18" s="5"/>
      <c r="AKY18" s="2"/>
      <c r="AKZ18" s="7"/>
      <c r="ALA18"/>
      <c r="ALB18"/>
      <c r="ALC18" s="10"/>
      <c r="ALD18" s="2"/>
      <c r="ALE18"/>
      <c r="ALF18" s="5"/>
      <c r="ALG18" s="2"/>
      <c r="ALH18" s="7"/>
      <c r="ALI18"/>
      <c r="ALJ18"/>
      <c r="ALK18" s="10"/>
      <c r="ALL18" s="2"/>
      <c r="ALM18"/>
      <c r="ALN18" s="5"/>
      <c r="ALO18" s="2"/>
      <c r="ALP18" s="7"/>
      <c r="ALQ18"/>
      <c r="ALR18"/>
      <c r="ALS18" s="10"/>
      <c r="ALT18" s="2"/>
      <c r="ALU18"/>
      <c r="ALV18" s="5"/>
      <c r="ALW18" s="2"/>
      <c r="ALX18" s="7"/>
      <c r="ALY18"/>
      <c r="ALZ18"/>
      <c r="AMA18" s="10"/>
      <c r="AMB18" s="2"/>
      <c r="AMC18"/>
      <c r="AMD18" s="5"/>
      <c r="AME18" s="2"/>
      <c r="AMF18" s="7"/>
      <c r="AMG18"/>
      <c r="AMH18"/>
      <c r="AMI18" s="10"/>
      <c r="AMJ18" s="2"/>
      <c r="AMK18"/>
      <c r="AML18" s="5"/>
      <c r="AMM18" s="2"/>
      <c r="AMN18" s="7"/>
      <c r="AMO18"/>
      <c r="AMP18"/>
      <c r="AMQ18" s="10"/>
      <c r="AMR18" s="2"/>
      <c r="AMS18"/>
      <c r="AMT18" s="5"/>
      <c r="AMU18" s="2"/>
      <c r="AMV18" s="7"/>
      <c r="AMW18"/>
      <c r="AMX18"/>
      <c r="AMY18" s="10"/>
      <c r="AMZ18" s="2"/>
      <c r="ANA18"/>
      <c r="ANB18" s="5"/>
      <c r="ANC18" s="2"/>
      <c r="AND18" s="7"/>
      <c r="ANE18"/>
      <c r="ANF18"/>
      <c r="ANG18" s="10"/>
      <c r="ANH18" s="2"/>
      <c r="ANI18"/>
      <c r="ANJ18" s="5"/>
      <c r="ANK18" s="2"/>
      <c r="ANL18" s="7"/>
      <c r="ANM18"/>
      <c r="ANN18"/>
      <c r="ANO18" s="10"/>
      <c r="ANP18" s="2"/>
      <c r="ANQ18"/>
      <c r="ANR18" s="5"/>
      <c r="ANS18" s="2"/>
      <c r="ANT18" s="7"/>
      <c r="ANU18"/>
      <c r="ANV18"/>
      <c r="ANW18" s="10"/>
      <c r="ANX18" s="2"/>
      <c r="ANY18"/>
      <c r="ANZ18" s="5"/>
      <c r="AOA18" s="2"/>
      <c r="AOB18" s="7"/>
      <c r="AOC18"/>
      <c r="AOD18"/>
      <c r="AOE18" s="10"/>
      <c r="AOF18" s="2"/>
      <c r="AOG18"/>
      <c r="AOH18" s="5"/>
      <c r="AOI18" s="2"/>
      <c r="AOJ18" s="7"/>
      <c r="AOK18"/>
      <c r="AOL18"/>
      <c r="AOM18" s="10"/>
      <c r="AON18" s="2"/>
      <c r="AOO18"/>
      <c r="AOP18" s="5"/>
      <c r="AOQ18" s="2"/>
      <c r="AOR18" s="7"/>
      <c r="AOS18"/>
      <c r="AOT18"/>
      <c r="AOU18" s="10"/>
      <c r="AOV18" s="2"/>
      <c r="AOW18"/>
      <c r="AOX18" s="5"/>
      <c r="AOY18" s="2"/>
      <c r="AOZ18" s="7"/>
      <c r="APA18"/>
      <c r="APB18"/>
      <c r="APC18" s="10"/>
      <c r="APD18" s="2"/>
      <c r="APE18"/>
      <c r="APF18" s="5"/>
      <c r="APG18" s="2"/>
      <c r="APH18" s="7"/>
      <c r="API18"/>
      <c r="APJ18"/>
      <c r="APK18" s="10"/>
      <c r="APL18" s="2"/>
      <c r="APM18"/>
      <c r="APN18" s="5"/>
      <c r="APO18" s="2"/>
      <c r="APP18" s="7"/>
      <c r="APQ18"/>
      <c r="APR18"/>
      <c r="APS18" s="10"/>
      <c r="APT18" s="2"/>
      <c r="APU18"/>
      <c r="APV18" s="5"/>
      <c r="APW18" s="2"/>
      <c r="APX18" s="7"/>
      <c r="APY18"/>
      <c r="APZ18"/>
      <c r="AQA18" s="10"/>
      <c r="AQB18" s="2"/>
      <c r="AQC18"/>
      <c r="AQD18" s="5"/>
      <c r="AQE18" s="2"/>
      <c r="AQF18" s="7"/>
      <c r="AQG18"/>
      <c r="AQH18"/>
      <c r="AQI18" s="10"/>
      <c r="AQJ18" s="2"/>
      <c r="AQK18"/>
      <c r="AQL18" s="5"/>
      <c r="AQM18" s="2"/>
      <c r="AQN18" s="7"/>
      <c r="AQO18"/>
      <c r="AQP18"/>
      <c r="AQQ18" s="10"/>
      <c r="AQR18" s="2"/>
      <c r="AQS18"/>
      <c r="AQT18" s="5"/>
      <c r="AQU18" s="2"/>
      <c r="AQV18" s="7"/>
      <c r="AQW18"/>
      <c r="AQX18"/>
      <c r="AQY18" s="10"/>
      <c r="AQZ18" s="2"/>
      <c r="ARA18"/>
      <c r="ARB18" s="5"/>
      <c r="ARC18" s="2"/>
      <c r="ARD18" s="7"/>
      <c r="ARE18"/>
      <c r="ARF18"/>
      <c r="ARG18" s="10"/>
      <c r="ARH18" s="2"/>
      <c r="ARI18"/>
      <c r="ARJ18" s="5"/>
      <c r="ARK18" s="2"/>
      <c r="ARL18" s="7"/>
      <c r="ARM18"/>
      <c r="ARN18"/>
      <c r="ARO18" s="10"/>
      <c r="ARP18" s="2"/>
      <c r="ARQ18"/>
      <c r="ARR18" s="5"/>
      <c r="ARS18" s="2"/>
      <c r="ART18" s="7"/>
      <c r="ARU18"/>
      <c r="ARV18"/>
      <c r="ARW18" s="10"/>
      <c r="ARX18" s="2"/>
      <c r="ARY18"/>
      <c r="ARZ18" s="5"/>
      <c r="ASA18" s="2"/>
      <c r="ASB18" s="7"/>
      <c r="ASC18"/>
      <c r="ASD18"/>
      <c r="ASE18" s="10"/>
      <c r="ASF18" s="2"/>
      <c r="ASG18"/>
      <c r="ASH18" s="5"/>
      <c r="ASI18" s="2"/>
      <c r="ASJ18" s="7"/>
      <c r="ASK18"/>
      <c r="ASL18"/>
      <c r="ASM18" s="10"/>
      <c r="ASN18" s="2"/>
      <c r="ASO18"/>
      <c r="ASP18" s="5"/>
      <c r="ASQ18" s="2"/>
      <c r="ASR18" s="7"/>
      <c r="ASS18"/>
      <c r="AST18"/>
      <c r="ASU18" s="10"/>
      <c r="ASV18" s="2"/>
      <c r="ASW18"/>
      <c r="ASX18" s="5"/>
      <c r="ASY18" s="2"/>
      <c r="ASZ18" s="7"/>
      <c r="ATA18"/>
      <c r="ATB18"/>
      <c r="ATC18" s="10"/>
      <c r="ATD18" s="2"/>
      <c r="ATE18"/>
      <c r="ATF18" s="5"/>
      <c r="ATG18" s="2"/>
      <c r="ATH18" s="7"/>
      <c r="ATI18"/>
      <c r="ATJ18"/>
      <c r="ATK18" s="10"/>
      <c r="ATL18" s="2"/>
      <c r="ATM18"/>
      <c r="ATN18" s="5"/>
      <c r="ATO18" s="2"/>
      <c r="ATP18" s="7"/>
      <c r="ATQ18"/>
      <c r="ATR18"/>
      <c r="ATS18" s="10"/>
      <c r="ATT18" s="2"/>
      <c r="ATU18"/>
      <c r="ATV18" s="5"/>
      <c r="ATW18" s="2"/>
      <c r="ATX18" s="7"/>
      <c r="ATY18"/>
      <c r="ATZ18"/>
      <c r="AUA18" s="10"/>
      <c r="AUB18" s="2"/>
      <c r="AUC18"/>
      <c r="AUD18" s="5"/>
      <c r="AUE18" s="2"/>
      <c r="AUF18" s="7"/>
      <c r="AUG18"/>
      <c r="AUH18"/>
      <c r="AUI18" s="10"/>
      <c r="AUJ18" s="2"/>
      <c r="AUK18"/>
      <c r="AUL18" s="5"/>
      <c r="AUM18" s="2"/>
      <c r="AUN18" s="7"/>
      <c r="AUO18"/>
      <c r="AUP18"/>
      <c r="AUQ18" s="10"/>
      <c r="AUR18" s="2"/>
      <c r="AUS18"/>
      <c r="AUT18" s="5"/>
      <c r="AUU18" s="2"/>
      <c r="AUV18" s="7"/>
      <c r="AUW18"/>
      <c r="AUX18"/>
      <c r="AUY18" s="10"/>
      <c r="AUZ18" s="2"/>
      <c r="AVA18"/>
      <c r="AVB18" s="5"/>
      <c r="AVC18" s="2"/>
      <c r="AVD18" s="7"/>
      <c r="AVE18"/>
      <c r="AVF18"/>
      <c r="AVG18" s="10"/>
      <c r="AVH18" s="2"/>
      <c r="AVI18"/>
      <c r="AVJ18" s="5"/>
      <c r="AVK18" s="2"/>
      <c r="AVL18" s="7"/>
      <c r="AVM18"/>
      <c r="AVN18"/>
      <c r="AVO18" s="10"/>
      <c r="AVP18" s="2"/>
      <c r="AVQ18"/>
      <c r="AVR18" s="5"/>
      <c r="AVS18" s="2"/>
      <c r="AVT18" s="7"/>
      <c r="AVU18"/>
      <c r="AVV18"/>
      <c r="AVW18" s="10"/>
      <c r="AVX18" s="2"/>
      <c r="AVY18"/>
      <c r="AVZ18" s="5"/>
      <c r="AWA18" s="2"/>
      <c r="AWB18" s="7"/>
      <c r="AWC18"/>
      <c r="AWD18"/>
      <c r="AWE18" s="10"/>
      <c r="AWF18" s="2"/>
      <c r="AWG18"/>
      <c r="AWH18" s="5"/>
      <c r="AWI18" s="2"/>
      <c r="AWJ18" s="7"/>
      <c r="AWK18"/>
      <c r="AWL18"/>
      <c r="AWM18" s="10"/>
      <c r="AWN18" s="2"/>
      <c r="AWO18"/>
      <c r="AWP18" s="5"/>
      <c r="AWQ18" s="2"/>
      <c r="AWR18" s="7"/>
      <c r="AWS18"/>
      <c r="AWT18"/>
      <c r="AWU18" s="10"/>
      <c r="AWV18" s="2"/>
      <c r="AWW18"/>
      <c r="AWX18" s="5"/>
      <c r="AWY18" s="2"/>
      <c r="AWZ18" s="7"/>
      <c r="AXA18"/>
      <c r="AXB18"/>
      <c r="AXC18" s="10"/>
      <c r="AXD18" s="2"/>
      <c r="AXE18"/>
      <c r="AXF18" s="5"/>
      <c r="AXG18" s="2"/>
      <c r="AXH18" s="7"/>
      <c r="AXI18"/>
      <c r="AXJ18"/>
      <c r="AXK18" s="10"/>
      <c r="AXL18" s="2"/>
      <c r="AXM18"/>
      <c r="AXN18" s="5"/>
      <c r="AXO18" s="2"/>
      <c r="AXP18" s="7"/>
      <c r="AXQ18"/>
      <c r="AXR18"/>
      <c r="AXS18" s="10"/>
      <c r="AXT18" s="2"/>
      <c r="AXU18"/>
      <c r="AXV18" s="5"/>
      <c r="AXW18" s="2"/>
      <c r="AXX18" s="7"/>
      <c r="AXY18"/>
      <c r="AXZ18"/>
      <c r="AYA18" s="10"/>
      <c r="AYB18" s="2"/>
      <c r="AYC18"/>
      <c r="AYD18" s="5"/>
      <c r="AYE18" s="2"/>
      <c r="AYF18" s="7"/>
      <c r="AYG18"/>
      <c r="AYH18"/>
      <c r="AYI18" s="10"/>
      <c r="AYJ18" s="2"/>
      <c r="AYK18"/>
      <c r="AYL18" s="5"/>
      <c r="AYM18" s="2"/>
      <c r="AYN18" s="7"/>
      <c r="AYO18"/>
      <c r="AYP18"/>
      <c r="AYQ18" s="10"/>
      <c r="AYR18" s="2"/>
      <c r="AYS18"/>
      <c r="AYT18" s="5"/>
      <c r="AYU18" s="2"/>
      <c r="AYV18" s="7"/>
      <c r="AYW18"/>
      <c r="AYX18"/>
      <c r="AYY18" s="10"/>
      <c r="AYZ18" s="2"/>
      <c r="AZA18"/>
      <c r="AZB18" s="5"/>
      <c r="AZC18" s="2"/>
      <c r="AZD18" s="7"/>
      <c r="AZE18"/>
      <c r="AZF18"/>
      <c r="AZG18" s="10"/>
      <c r="AZH18" s="2"/>
      <c r="AZI18"/>
      <c r="AZJ18" s="5"/>
      <c r="AZK18" s="2"/>
      <c r="AZL18" s="7"/>
      <c r="AZM18"/>
      <c r="AZN18"/>
      <c r="AZO18" s="10"/>
      <c r="AZP18" s="2"/>
      <c r="AZQ18"/>
      <c r="AZR18" s="5"/>
      <c r="AZS18" s="2"/>
      <c r="AZT18" s="7"/>
      <c r="AZU18"/>
      <c r="AZV18"/>
      <c r="AZW18" s="10"/>
      <c r="AZX18" s="2"/>
      <c r="AZY18"/>
      <c r="AZZ18" s="5"/>
      <c r="BAA18" s="2"/>
      <c r="BAB18" s="7"/>
      <c r="BAC18"/>
      <c r="BAD18"/>
      <c r="BAE18" s="10"/>
      <c r="BAF18" s="2"/>
      <c r="BAG18"/>
      <c r="BAH18" s="5"/>
      <c r="BAI18" s="2"/>
      <c r="BAJ18" s="7"/>
      <c r="BAK18"/>
      <c r="BAL18"/>
      <c r="BAM18" s="10"/>
      <c r="BAN18" s="2"/>
      <c r="BAO18"/>
      <c r="BAP18" s="5"/>
      <c r="BAQ18" s="2"/>
      <c r="BAR18" s="7"/>
      <c r="BAS18"/>
      <c r="BAT18"/>
      <c r="BAU18" s="10"/>
      <c r="BAV18" s="2"/>
      <c r="BAW18"/>
      <c r="BAX18" s="5"/>
      <c r="BAY18" s="2"/>
      <c r="BAZ18" s="7"/>
      <c r="BBA18"/>
      <c r="BBB18"/>
      <c r="BBC18" s="10"/>
      <c r="BBD18" s="2"/>
      <c r="BBE18"/>
      <c r="BBF18" s="5"/>
      <c r="BBG18" s="2"/>
      <c r="BBH18" s="7"/>
      <c r="BBI18"/>
      <c r="BBJ18"/>
      <c r="BBK18" s="10"/>
      <c r="BBL18" s="2"/>
      <c r="BBM18"/>
      <c r="BBN18" s="5"/>
      <c r="BBO18" s="2"/>
      <c r="BBP18" s="7"/>
      <c r="BBQ18"/>
      <c r="BBR18"/>
      <c r="BBS18" s="10"/>
      <c r="BBT18" s="2"/>
      <c r="BBU18"/>
      <c r="BBV18" s="5"/>
      <c r="BBW18" s="2"/>
      <c r="BBX18" s="7"/>
      <c r="BBY18"/>
      <c r="BBZ18"/>
      <c r="BCA18" s="10"/>
      <c r="BCB18" s="2"/>
      <c r="BCC18"/>
      <c r="BCD18" s="5"/>
      <c r="BCE18" s="2"/>
      <c r="BCF18" s="7"/>
      <c r="BCG18"/>
      <c r="BCH18"/>
      <c r="BCI18" s="10"/>
      <c r="BCJ18" s="2"/>
      <c r="BCK18"/>
      <c r="BCL18" s="5"/>
      <c r="BCM18" s="2"/>
      <c r="BCN18" s="7"/>
      <c r="BCO18"/>
      <c r="BCP18"/>
      <c r="BCQ18" s="10"/>
      <c r="BCR18" s="2"/>
      <c r="BCS18"/>
      <c r="BCT18" s="5"/>
      <c r="BCU18" s="2"/>
      <c r="BCV18" s="7"/>
      <c r="BCW18"/>
      <c r="BCX18"/>
      <c r="BCY18" s="10"/>
      <c r="BCZ18" s="2"/>
      <c r="BDA18"/>
      <c r="BDB18" s="5"/>
      <c r="BDC18" s="2"/>
      <c r="BDD18" s="7"/>
      <c r="BDE18"/>
      <c r="BDF18"/>
      <c r="BDG18" s="10"/>
      <c r="BDH18" s="2"/>
      <c r="BDI18"/>
      <c r="BDJ18" s="5"/>
      <c r="BDK18" s="2"/>
      <c r="BDL18" s="7"/>
      <c r="BDM18"/>
      <c r="BDN18"/>
      <c r="BDO18" s="10"/>
      <c r="BDP18" s="2"/>
      <c r="BDQ18"/>
      <c r="BDR18" s="5"/>
      <c r="BDS18" s="2"/>
      <c r="BDT18" s="7"/>
      <c r="BDU18"/>
      <c r="BDV18"/>
      <c r="BDW18" s="10"/>
      <c r="BDX18" s="2"/>
      <c r="BDY18"/>
      <c r="BDZ18" s="5"/>
      <c r="BEA18" s="2"/>
      <c r="BEB18" s="7"/>
      <c r="BEC18"/>
      <c r="BED18"/>
      <c r="BEE18" s="10"/>
      <c r="BEF18" s="2"/>
      <c r="BEG18"/>
      <c r="BEH18" s="5"/>
      <c r="BEI18" s="2"/>
      <c r="BEJ18" s="7"/>
      <c r="BEK18"/>
      <c r="BEL18"/>
      <c r="BEM18" s="10"/>
      <c r="BEN18" s="2"/>
      <c r="BEO18"/>
      <c r="BEP18" s="5"/>
      <c r="BEQ18" s="2"/>
      <c r="BER18" s="7"/>
      <c r="BES18"/>
      <c r="BET18"/>
      <c r="BEU18" s="10"/>
      <c r="BEV18" s="2"/>
      <c r="BEW18"/>
      <c r="BEX18" s="5"/>
      <c r="BEY18" s="2"/>
      <c r="BEZ18" s="7"/>
      <c r="BFA18"/>
      <c r="BFB18"/>
      <c r="BFC18" s="10"/>
      <c r="BFD18" s="2"/>
      <c r="BFE18"/>
      <c r="BFF18" s="5"/>
      <c r="BFG18" s="2"/>
      <c r="BFH18" s="7"/>
      <c r="BFI18"/>
      <c r="BFJ18"/>
      <c r="BFK18" s="10"/>
      <c r="BFL18" s="2"/>
      <c r="BFM18"/>
      <c r="BFN18" s="5"/>
      <c r="BFO18" s="2"/>
      <c r="BFP18" s="7"/>
      <c r="BFQ18"/>
      <c r="BFR18"/>
      <c r="BFS18" s="10"/>
      <c r="BFT18" s="2"/>
      <c r="BFU18"/>
      <c r="BFV18" s="5"/>
      <c r="BFW18" s="2"/>
      <c r="BFX18" s="7"/>
      <c r="BFY18"/>
      <c r="BFZ18"/>
      <c r="BGA18" s="10"/>
      <c r="BGB18" s="2"/>
      <c r="BGC18"/>
      <c r="BGD18" s="5"/>
      <c r="BGE18" s="2"/>
      <c r="BGF18" s="7"/>
      <c r="BGG18"/>
      <c r="BGH18"/>
      <c r="BGI18" s="10"/>
      <c r="BGJ18" s="2"/>
      <c r="BGK18"/>
      <c r="BGL18" s="5"/>
      <c r="BGM18" s="2"/>
      <c r="BGN18" s="7"/>
      <c r="BGO18"/>
      <c r="BGP18"/>
      <c r="BGQ18" s="10"/>
      <c r="BGR18" s="2"/>
      <c r="BGS18"/>
      <c r="BGT18" s="5"/>
      <c r="BGU18" s="2"/>
      <c r="BGV18" s="7"/>
      <c r="BGW18"/>
      <c r="BGX18"/>
      <c r="BGY18" s="10"/>
      <c r="BGZ18" s="2"/>
      <c r="BHA18"/>
      <c r="BHB18" s="5"/>
      <c r="BHC18" s="2"/>
      <c r="BHD18" s="7"/>
      <c r="BHE18"/>
      <c r="BHF18"/>
      <c r="BHG18" s="10"/>
      <c r="BHH18" s="2"/>
      <c r="BHI18"/>
      <c r="BHJ18" s="5"/>
      <c r="BHK18" s="2"/>
      <c r="BHL18" s="7"/>
      <c r="BHM18"/>
      <c r="BHN18"/>
      <c r="BHO18" s="10"/>
      <c r="BHP18" s="2"/>
      <c r="BHQ18"/>
      <c r="BHR18" s="5"/>
      <c r="BHS18" s="2"/>
      <c r="BHT18" s="7"/>
      <c r="BHU18"/>
      <c r="BHV18"/>
      <c r="BHW18" s="10"/>
      <c r="BHX18" s="2"/>
      <c r="BHY18"/>
      <c r="BHZ18" s="5"/>
      <c r="BIA18" s="2"/>
      <c r="BIB18" s="7"/>
      <c r="BIC18"/>
      <c r="BID18"/>
      <c r="BIE18" s="10"/>
      <c r="BIF18" s="2"/>
      <c r="BIG18"/>
      <c r="BIH18" s="5"/>
      <c r="BII18" s="2"/>
      <c r="BIJ18" s="7"/>
      <c r="BIK18"/>
      <c r="BIL18"/>
      <c r="BIM18" s="10"/>
      <c r="BIN18" s="2"/>
      <c r="BIO18"/>
      <c r="BIP18" s="5"/>
      <c r="BIQ18" s="2"/>
      <c r="BIR18" s="7"/>
      <c r="BIS18"/>
      <c r="BIT18"/>
      <c r="BIU18" s="10"/>
      <c r="BIV18" s="2"/>
      <c r="BIW18"/>
      <c r="BIX18" s="5"/>
      <c r="BIY18" s="2"/>
      <c r="BIZ18" s="7"/>
      <c r="BJA18"/>
      <c r="BJB18"/>
      <c r="BJC18" s="10"/>
      <c r="BJD18" s="2"/>
      <c r="BJE18"/>
      <c r="BJF18" s="5"/>
      <c r="BJG18" s="2"/>
      <c r="BJH18" s="7"/>
      <c r="BJI18"/>
      <c r="BJJ18"/>
      <c r="BJK18" s="10"/>
      <c r="BJL18" s="2"/>
      <c r="BJM18"/>
      <c r="BJN18" s="5"/>
      <c r="BJO18" s="2"/>
      <c r="BJP18" s="7"/>
      <c r="BJQ18"/>
      <c r="BJR18"/>
      <c r="BJS18" s="10"/>
      <c r="BJT18" s="2"/>
      <c r="BJU18"/>
      <c r="BJV18" s="5"/>
      <c r="BJW18" s="2"/>
      <c r="BJX18" s="7"/>
      <c r="BJY18"/>
      <c r="BJZ18"/>
      <c r="BKA18" s="10"/>
      <c r="BKB18" s="2"/>
      <c r="BKC18"/>
      <c r="BKD18" s="5"/>
      <c r="BKE18" s="2"/>
      <c r="BKF18" s="7"/>
      <c r="BKG18"/>
      <c r="BKH18"/>
      <c r="BKI18" s="10"/>
      <c r="BKJ18" s="2"/>
      <c r="BKK18"/>
      <c r="BKL18" s="5"/>
      <c r="BKM18" s="2"/>
      <c r="BKN18" s="7"/>
      <c r="BKO18"/>
      <c r="BKP18"/>
      <c r="BKQ18" s="10"/>
      <c r="BKR18" s="2"/>
      <c r="BKS18"/>
      <c r="BKT18" s="5"/>
      <c r="BKU18" s="2"/>
      <c r="BKV18" s="7"/>
      <c r="BKW18"/>
      <c r="BKX18"/>
      <c r="BKY18" s="10"/>
      <c r="BKZ18" s="2"/>
      <c r="BLA18"/>
      <c r="BLB18" s="5"/>
      <c r="BLC18" s="2"/>
      <c r="BLD18" s="7"/>
      <c r="BLE18"/>
      <c r="BLF18"/>
      <c r="BLG18" s="10"/>
      <c r="BLH18" s="2"/>
      <c r="BLI18"/>
      <c r="BLJ18" s="5"/>
      <c r="BLK18" s="2"/>
      <c r="BLL18" s="7"/>
      <c r="BLM18"/>
      <c r="BLN18"/>
      <c r="BLO18" s="10"/>
      <c r="BLP18" s="2"/>
      <c r="BLQ18"/>
      <c r="BLR18" s="5"/>
      <c r="BLS18" s="2"/>
      <c r="BLT18" s="7"/>
      <c r="BLU18"/>
      <c r="BLV18"/>
      <c r="BLW18" s="10"/>
      <c r="BLX18" s="2"/>
      <c r="BLY18"/>
      <c r="BLZ18" s="5"/>
      <c r="BMA18" s="2"/>
      <c r="BMB18" s="7"/>
      <c r="BMC18"/>
      <c r="BMD18"/>
      <c r="BME18" s="10"/>
      <c r="BMF18" s="2"/>
      <c r="BMG18"/>
      <c r="BMH18" s="5"/>
      <c r="BMI18" s="2"/>
      <c r="BMJ18" s="7"/>
      <c r="BMK18"/>
      <c r="BML18"/>
      <c r="BMM18" s="10"/>
      <c r="BMN18" s="2"/>
      <c r="BMO18"/>
      <c r="BMP18" s="5"/>
      <c r="BMQ18" s="2"/>
      <c r="BMR18" s="7"/>
      <c r="BMS18"/>
      <c r="BMT18"/>
      <c r="BMU18" s="10"/>
      <c r="BMV18" s="2"/>
      <c r="BMW18"/>
      <c r="BMX18" s="5"/>
      <c r="BMY18" s="2"/>
      <c r="BMZ18" s="7"/>
      <c r="BNA18"/>
      <c r="BNB18"/>
      <c r="BNC18" s="10"/>
      <c r="BND18" s="2"/>
      <c r="BNE18"/>
      <c r="BNF18" s="5"/>
      <c r="BNG18" s="2"/>
      <c r="BNH18" s="7"/>
      <c r="BNI18"/>
      <c r="BNJ18"/>
      <c r="BNK18" s="10"/>
      <c r="BNL18" s="2"/>
      <c r="BNM18"/>
      <c r="BNN18" s="5"/>
      <c r="BNO18" s="2"/>
      <c r="BNP18" s="7"/>
      <c r="BNQ18"/>
      <c r="BNR18"/>
      <c r="BNS18" s="10"/>
      <c r="BNT18" s="2"/>
      <c r="BNU18"/>
      <c r="BNV18" s="5"/>
      <c r="BNW18" s="2"/>
      <c r="BNX18" s="7"/>
      <c r="BNY18"/>
      <c r="BNZ18"/>
      <c r="BOA18" s="10"/>
      <c r="BOB18" s="2"/>
      <c r="BOC18"/>
      <c r="BOD18" s="5"/>
      <c r="BOE18" s="2"/>
      <c r="BOF18" s="7"/>
      <c r="BOG18"/>
      <c r="BOH18"/>
      <c r="BOI18" s="10"/>
      <c r="BOJ18" s="2"/>
      <c r="BOK18"/>
      <c r="BOL18" s="5"/>
      <c r="BOM18" s="2"/>
      <c r="BON18" s="7"/>
      <c r="BOO18"/>
      <c r="BOP18"/>
      <c r="BOQ18" s="10"/>
      <c r="BOR18" s="2"/>
      <c r="BOS18"/>
      <c r="BOT18" s="5"/>
      <c r="BOU18" s="2"/>
      <c r="BOV18" s="7"/>
      <c r="BOW18"/>
      <c r="BOX18"/>
      <c r="BOY18" s="10"/>
      <c r="BOZ18" s="2"/>
      <c r="BPA18"/>
      <c r="BPB18" s="5"/>
      <c r="BPC18" s="2"/>
      <c r="BPD18" s="7"/>
      <c r="BPE18"/>
      <c r="BPF18"/>
      <c r="BPG18" s="10"/>
      <c r="BPH18" s="2"/>
      <c r="BPI18"/>
      <c r="BPJ18" s="5"/>
      <c r="BPK18" s="2"/>
      <c r="BPL18" s="7"/>
      <c r="BPM18"/>
      <c r="BPN18"/>
      <c r="BPO18" s="10"/>
      <c r="BPP18" s="2"/>
      <c r="BPQ18"/>
      <c r="BPR18" s="5"/>
      <c r="BPS18" s="2"/>
      <c r="BPT18" s="7"/>
      <c r="BPU18"/>
      <c r="BPV18"/>
      <c r="BPW18" s="10"/>
      <c r="BPX18" s="2"/>
      <c r="BPY18"/>
      <c r="BPZ18" s="5"/>
      <c r="BQA18" s="2"/>
      <c r="BQB18" s="7"/>
      <c r="BQC18"/>
      <c r="BQD18"/>
      <c r="BQE18" s="10"/>
      <c r="BQF18" s="2"/>
      <c r="BQG18"/>
      <c r="BQH18" s="5"/>
      <c r="BQI18" s="2"/>
      <c r="BQJ18" s="7"/>
      <c r="BQK18"/>
      <c r="BQL18"/>
      <c r="BQM18" s="10"/>
      <c r="BQN18" s="2"/>
      <c r="BQO18"/>
      <c r="BQP18" s="5"/>
      <c r="BQQ18" s="2"/>
      <c r="BQR18" s="7"/>
      <c r="BQS18"/>
      <c r="BQT18"/>
      <c r="BQU18" s="10"/>
      <c r="BQV18" s="2"/>
      <c r="BQW18"/>
      <c r="BQX18" s="5"/>
      <c r="BQY18" s="2"/>
      <c r="BQZ18" s="7"/>
      <c r="BRA18"/>
      <c r="BRB18"/>
      <c r="BRC18" s="10"/>
      <c r="BRD18" s="2"/>
      <c r="BRE18"/>
      <c r="BRF18" s="5"/>
      <c r="BRG18" s="2"/>
      <c r="BRH18" s="7"/>
      <c r="BRI18"/>
      <c r="BRJ18"/>
      <c r="BRK18" s="10"/>
      <c r="BRL18" s="2"/>
      <c r="BRM18"/>
      <c r="BRN18" s="5"/>
      <c r="BRO18" s="2"/>
      <c r="BRP18" s="7"/>
      <c r="BRQ18"/>
      <c r="BRR18"/>
      <c r="BRS18" s="10"/>
      <c r="BRT18" s="2"/>
      <c r="BRU18"/>
      <c r="BRV18" s="5"/>
      <c r="BRW18" s="2"/>
      <c r="BRX18" s="7"/>
      <c r="BRY18"/>
      <c r="BRZ18"/>
      <c r="BSA18" s="10"/>
      <c r="BSB18" s="2"/>
      <c r="BSC18"/>
      <c r="BSD18" s="5"/>
      <c r="BSE18" s="2"/>
      <c r="BSF18" s="7"/>
      <c r="BSG18"/>
      <c r="BSH18"/>
      <c r="BSI18" s="10"/>
      <c r="BSJ18" s="2"/>
      <c r="BSK18"/>
      <c r="BSL18" s="5"/>
      <c r="BSM18" s="2"/>
      <c r="BSN18" s="7"/>
      <c r="BSO18"/>
      <c r="BSP18"/>
      <c r="BSQ18" s="10"/>
      <c r="BSR18" s="2"/>
      <c r="BSS18"/>
      <c r="BST18" s="5"/>
      <c r="BSU18" s="2"/>
      <c r="BSV18" s="7"/>
      <c r="BSW18"/>
      <c r="BSX18"/>
      <c r="BSY18" s="10"/>
      <c r="BSZ18" s="2"/>
      <c r="BTA18"/>
      <c r="BTB18" s="5"/>
      <c r="BTC18" s="2"/>
      <c r="BTD18" s="7"/>
      <c r="BTE18"/>
      <c r="BTF18"/>
      <c r="BTG18" s="10"/>
      <c r="BTH18" s="2"/>
      <c r="BTI18"/>
      <c r="BTJ18" s="5"/>
      <c r="BTK18" s="2"/>
      <c r="BTL18" s="7"/>
      <c r="BTM18"/>
      <c r="BTN18"/>
      <c r="BTO18" s="10"/>
      <c r="BTP18" s="2"/>
      <c r="BTQ18"/>
      <c r="BTR18" s="5"/>
      <c r="BTS18" s="2"/>
      <c r="BTT18" s="7"/>
      <c r="BTU18"/>
      <c r="BTV18"/>
      <c r="BTW18" s="10"/>
      <c r="BTX18" s="2"/>
      <c r="BTY18"/>
      <c r="BTZ18" s="5"/>
      <c r="BUA18" s="2"/>
      <c r="BUB18" s="7"/>
      <c r="BUC18"/>
      <c r="BUD18"/>
      <c r="BUE18" s="10"/>
      <c r="BUF18" s="2"/>
      <c r="BUG18"/>
      <c r="BUH18" s="5"/>
      <c r="BUI18" s="2"/>
      <c r="BUJ18" s="7"/>
      <c r="BUK18"/>
      <c r="BUL18"/>
      <c r="BUM18" s="10"/>
      <c r="BUN18" s="2"/>
      <c r="BUO18"/>
      <c r="BUP18" s="5"/>
      <c r="BUQ18" s="2"/>
      <c r="BUR18" s="7"/>
      <c r="BUS18"/>
      <c r="BUT18"/>
      <c r="BUU18" s="10"/>
      <c r="BUV18" s="2"/>
      <c r="BUW18"/>
      <c r="BUX18" s="5"/>
      <c r="BUY18" s="2"/>
      <c r="BUZ18" s="7"/>
      <c r="BVA18"/>
      <c r="BVB18"/>
      <c r="BVC18" s="10"/>
      <c r="BVD18" s="2"/>
      <c r="BVE18"/>
      <c r="BVF18" s="5"/>
      <c r="BVG18" s="2"/>
      <c r="BVH18" s="7"/>
      <c r="BVI18"/>
      <c r="BVJ18"/>
      <c r="BVK18" s="10"/>
      <c r="BVL18" s="2"/>
      <c r="BVM18"/>
      <c r="BVN18" s="5"/>
      <c r="BVO18" s="2"/>
      <c r="BVP18" s="7"/>
      <c r="BVQ18"/>
      <c r="BVR18"/>
      <c r="BVS18" s="10"/>
      <c r="BVT18" s="2"/>
      <c r="BVU18"/>
      <c r="BVV18" s="5"/>
      <c r="BVW18" s="2"/>
      <c r="BVX18" s="7"/>
      <c r="BVY18"/>
      <c r="BVZ18"/>
      <c r="BWA18" s="10"/>
      <c r="BWB18" s="2"/>
      <c r="BWC18"/>
      <c r="BWD18" s="5"/>
      <c r="BWE18" s="2"/>
      <c r="BWF18" s="7"/>
      <c r="BWG18"/>
      <c r="BWH18"/>
      <c r="BWI18" s="10"/>
      <c r="BWJ18" s="2"/>
      <c r="BWK18"/>
      <c r="BWL18" s="5"/>
      <c r="BWM18" s="2"/>
      <c r="BWN18" s="7"/>
      <c r="BWO18"/>
      <c r="BWP18"/>
      <c r="BWQ18" s="10"/>
      <c r="BWR18" s="2"/>
      <c r="BWS18"/>
      <c r="BWT18" s="5"/>
      <c r="BWU18" s="2"/>
      <c r="BWV18" s="7"/>
      <c r="BWW18"/>
      <c r="BWX18"/>
      <c r="BWY18" s="10"/>
      <c r="BWZ18" s="2"/>
      <c r="BXA18"/>
      <c r="BXB18" s="5"/>
      <c r="BXC18" s="2"/>
      <c r="BXD18" s="7"/>
      <c r="BXE18"/>
      <c r="BXF18"/>
      <c r="BXG18" s="10"/>
      <c r="BXH18" s="2"/>
      <c r="BXI18"/>
      <c r="BXJ18" s="5"/>
      <c r="BXK18" s="2"/>
      <c r="BXL18" s="7"/>
      <c r="BXM18"/>
      <c r="BXN18"/>
      <c r="BXO18" s="10"/>
      <c r="BXP18" s="2"/>
      <c r="BXQ18"/>
      <c r="BXR18" s="5"/>
      <c r="BXS18" s="2"/>
      <c r="BXT18" s="7"/>
      <c r="BXU18"/>
      <c r="BXV18"/>
      <c r="BXW18" s="10"/>
      <c r="BXX18" s="2"/>
      <c r="BXY18"/>
      <c r="BXZ18" s="5"/>
      <c r="BYA18" s="2"/>
      <c r="BYB18" s="7"/>
      <c r="BYC18"/>
      <c r="BYD18"/>
      <c r="BYE18" s="10"/>
      <c r="BYF18" s="2"/>
      <c r="BYG18"/>
      <c r="BYH18" s="5"/>
      <c r="BYI18" s="2"/>
      <c r="BYJ18" s="7"/>
      <c r="BYK18"/>
      <c r="BYL18"/>
      <c r="BYM18" s="10"/>
      <c r="BYN18" s="2"/>
      <c r="BYO18"/>
      <c r="BYP18" s="5"/>
      <c r="BYQ18" s="2"/>
      <c r="BYR18" s="7"/>
      <c r="BYS18"/>
      <c r="BYT18"/>
      <c r="BYU18" s="10"/>
      <c r="BYV18" s="2"/>
      <c r="BYW18"/>
      <c r="BYX18" s="5"/>
      <c r="BYY18" s="2"/>
      <c r="BYZ18" s="7"/>
      <c r="BZA18"/>
      <c r="BZB18"/>
      <c r="BZC18" s="10"/>
      <c r="BZD18" s="2"/>
      <c r="BZE18"/>
      <c r="BZF18" s="5"/>
      <c r="BZG18" s="2"/>
      <c r="BZH18" s="7"/>
      <c r="BZI18"/>
      <c r="BZJ18"/>
      <c r="BZK18" s="10"/>
      <c r="BZL18" s="2"/>
      <c r="BZM18"/>
      <c r="BZN18" s="5"/>
      <c r="BZO18" s="2"/>
      <c r="BZP18" s="7"/>
      <c r="BZQ18"/>
      <c r="BZR18"/>
      <c r="BZS18" s="10"/>
      <c r="BZT18" s="2"/>
      <c r="BZU18"/>
      <c r="BZV18" s="5"/>
      <c r="BZW18" s="2"/>
      <c r="BZX18" s="7"/>
      <c r="BZY18"/>
      <c r="BZZ18"/>
      <c r="CAA18" s="10"/>
      <c r="CAB18" s="2"/>
      <c r="CAC18"/>
      <c r="CAD18" s="5"/>
      <c r="CAE18" s="2"/>
      <c r="CAF18" s="7"/>
      <c r="CAG18"/>
      <c r="CAH18"/>
      <c r="CAI18" s="10"/>
      <c r="CAJ18" s="2"/>
      <c r="CAK18"/>
      <c r="CAL18" s="5"/>
      <c r="CAM18" s="2"/>
      <c r="CAN18" s="7"/>
      <c r="CAO18"/>
      <c r="CAP18"/>
      <c r="CAQ18" s="10"/>
      <c r="CAR18" s="2"/>
      <c r="CAS18"/>
      <c r="CAT18" s="5"/>
      <c r="CAU18" s="2"/>
      <c r="CAV18" s="7"/>
      <c r="CAW18"/>
      <c r="CAX18"/>
      <c r="CAY18" s="10"/>
      <c r="CAZ18" s="2"/>
      <c r="CBA18"/>
      <c r="CBB18" s="5"/>
      <c r="CBC18" s="2"/>
      <c r="CBD18" s="7"/>
      <c r="CBE18"/>
      <c r="CBF18"/>
      <c r="CBG18" s="10"/>
      <c r="CBH18" s="2"/>
      <c r="CBI18"/>
      <c r="CBJ18" s="5"/>
      <c r="CBK18" s="2"/>
      <c r="CBL18" s="7"/>
      <c r="CBM18"/>
      <c r="CBN18"/>
      <c r="CBO18" s="10"/>
      <c r="CBP18" s="2"/>
      <c r="CBQ18"/>
      <c r="CBR18" s="5"/>
      <c r="CBS18" s="2"/>
      <c r="CBT18" s="7"/>
      <c r="CBU18"/>
      <c r="CBV18"/>
      <c r="CBW18" s="10"/>
      <c r="CBX18" s="2"/>
      <c r="CBY18"/>
      <c r="CBZ18" s="5"/>
      <c r="CCA18" s="2"/>
      <c r="CCB18" s="7"/>
      <c r="CCC18"/>
      <c r="CCD18"/>
      <c r="CCE18" s="10"/>
      <c r="CCF18" s="2"/>
      <c r="CCG18"/>
      <c r="CCH18" s="5"/>
      <c r="CCI18" s="2"/>
      <c r="CCJ18" s="7"/>
      <c r="CCK18"/>
      <c r="CCL18"/>
      <c r="CCM18" s="10"/>
      <c r="CCN18" s="2"/>
      <c r="CCO18"/>
      <c r="CCP18" s="5"/>
      <c r="CCQ18" s="2"/>
      <c r="CCR18" s="7"/>
      <c r="CCS18"/>
      <c r="CCT18"/>
      <c r="CCU18" s="10"/>
      <c r="CCV18" s="2"/>
      <c r="CCW18"/>
      <c r="CCX18" s="5"/>
      <c r="CCY18" s="2"/>
      <c r="CCZ18" s="7"/>
      <c r="CDA18"/>
      <c r="CDB18"/>
      <c r="CDC18" s="10"/>
      <c r="CDD18" s="2"/>
      <c r="CDE18"/>
      <c r="CDF18" s="5"/>
      <c r="CDG18" s="2"/>
      <c r="CDH18" s="7"/>
      <c r="CDI18"/>
      <c r="CDJ18"/>
      <c r="CDK18" s="10"/>
      <c r="CDL18" s="2"/>
      <c r="CDM18"/>
      <c r="CDN18" s="5"/>
      <c r="CDO18" s="2"/>
      <c r="CDP18" s="7"/>
      <c r="CDQ18"/>
      <c r="CDR18"/>
      <c r="CDS18" s="10"/>
      <c r="CDT18" s="2"/>
      <c r="CDU18"/>
      <c r="CDV18" s="5"/>
      <c r="CDW18" s="2"/>
      <c r="CDX18" s="7"/>
      <c r="CDY18"/>
      <c r="CDZ18"/>
      <c r="CEA18" s="10"/>
      <c r="CEB18" s="2"/>
      <c r="CEC18"/>
      <c r="CED18" s="5"/>
      <c r="CEE18" s="2"/>
      <c r="CEF18" s="7"/>
      <c r="CEG18"/>
      <c r="CEH18"/>
      <c r="CEI18" s="10"/>
      <c r="CEJ18" s="2"/>
      <c r="CEK18"/>
      <c r="CEL18" s="5"/>
      <c r="CEM18" s="2"/>
      <c r="CEN18" s="7"/>
      <c r="CEO18"/>
      <c r="CEP18"/>
      <c r="CEQ18" s="10"/>
      <c r="CER18" s="2"/>
      <c r="CES18"/>
      <c r="CET18" s="5"/>
      <c r="CEU18" s="2"/>
      <c r="CEV18" s="7"/>
      <c r="CEW18"/>
      <c r="CEX18"/>
      <c r="CEY18" s="10"/>
      <c r="CEZ18" s="2"/>
      <c r="CFA18"/>
      <c r="CFB18" s="5"/>
      <c r="CFC18" s="2"/>
      <c r="CFD18" s="7"/>
      <c r="CFE18"/>
      <c r="CFF18"/>
      <c r="CFG18" s="10"/>
      <c r="CFH18" s="2"/>
      <c r="CFI18"/>
      <c r="CFJ18" s="5"/>
      <c r="CFK18" s="2"/>
      <c r="CFL18" s="7"/>
      <c r="CFM18"/>
      <c r="CFN18"/>
      <c r="CFO18" s="10"/>
      <c r="CFP18" s="2"/>
      <c r="CFQ18"/>
      <c r="CFR18" s="5"/>
      <c r="CFS18" s="2"/>
      <c r="CFT18" s="7"/>
      <c r="CFU18"/>
      <c r="CFV18"/>
      <c r="CFW18" s="10"/>
      <c r="CFX18" s="2"/>
      <c r="CFY18"/>
      <c r="CFZ18" s="5"/>
      <c r="CGA18" s="2"/>
      <c r="CGB18" s="7"/>
      <c r="CGC18"/>
      <c r="CGD18"/>
      <c r="CGE18" s="10"/>
      <c r="CGF18" s="2"/>
      <c r="CGG18"/>
      <c r="CGH18" s="5"/>
      <c r="CGI18" s="2"/>
      <c r="CGJ18" s="7"/>
      <c r="CGK18"/>
      <c r="CGL18"/>
      <c r="CGM18" s="10"/>
      <c r="CGN18" s="2"/>
      <c r="CGO18"/>
      <c r="CGP18" s="5"/>
      <c r="CGQ18" s="2"/>
      <c r="CGR18" s="7"/>
      <c r="CGS18"/>
      <c r="CGT18"/>
      <c r="CGU18" s="10"/>
      <c r="CGV18" s="2"/>
      <c r="CGW18"/>
      <c r="CGX18" s="5"/>
      <c r="CGY18" s="2"/>
      <c r="CGZ18" s="7"/>
      <c r="CHA18"/>
      <c r="CHB18"/>
      <c r="CHC18" s="10"/>
      <c r="CHD18" s="2"/>
      <c r="CHE18"/>
      <c r="CHF18" s="5"/>
      <c r="CHG18" s="2"/>
      <c r="CHH18" s="7"/>
      <c r="CHI18"/>
      <c r="CHJ18"/>
      <c r="CHK18" s="10"/>
      <c r="CHL18" s="2"/>
      <c r="CHM18"/>
      <c r="CHN18" s="5"/>
      <c r="CHO18" s="2"/>
      <c r="CHP18" s="7"/>
      <c r="CHQ18"/>
      <c r="CHR18"/>
      <c r="CHS18" s="10"/>
      <c r="CHT18" s="2"/>
      <c r="CHU18"/>
      <c r="CHV18" s="5"/>
      <c r="CHW18" s="2"/>
      <c r="CHX18" s="7"/>
      <c r="CHY18"/>
      <c r="CHZ18"/>
      <c r="CIA18" s="10"/>
      <c r="CIB18" s="2"/>
      <c r="CIC18"/>
      <c r="CID18" s="5"/>
      <c r="CIE18" s="2"/>
      <c r="CIF18" s="7"/>
      <c r="CIG18"/>
      <c r="CIH18"/>
      <c r="CII18" s="10"/>
      <c r="CIJ18" s="2"/>
      <c r="CIK18"/>
      <c r="CIL18" s="5"/>
      <c r="CIM18" s="2"/>
      <c r="CIN18" s="7"/>
      <c r="CIO18"/>
      <c r="CIP18"/>
      <c r="CIQ18" s="10"/>
      <c r="CIR18" s="2"/>
      <c r="CIS18"/>
      <c r="CIT18" s="5"/>
      <c r="CIU18" s="2"/>
      <c r="CIV18" s="7"/>
      <c r="CIW18"/>
      <c r="CIX18"/>
      <c r="CIY18" s="10"/>
      <c r="CIZ18" s="2"/>
      <c r="CJA18"/>
      <c r="CJB18" s="5"/>
      <c r="CJC18" s="2"/>
      <c r="CJD18" s="7"/>
      <c r="CJE18"/>
      <c r="CJF18"/>
      <c r="CJG18" s="10"/>
      <c r="CJH18" s="2"/>
      <c r="CJI18"/>
      <c r="CJJ18" s="5"/>
      <c r="CJK18" s="2"/>
      <c r="CJL18" s="7"/>
      <c r="CJM18"/>
      <c r="CJN18"/>
      <c r="CJO18" s="10"/>
      <c r="CJP18" s="2"/>
      <c r="CJQ18"/>
      <c r="CJR18" s="5"/>
      <c r="CJS18" s="2"/>
      <c r="CJT18" s="7"/>
      <c r="CJU18"/>
      <c r="CJV18"/>
      <c r="CJW18" s="10"/>
      <c r="CJX18" s="2"/>
      <c r="CJY18"/>
      <c r="CJZ18" s="5"/>
      <c r="CKA18" s="2"/>
      <c r="CKB18" s="7"/>
      <c r="CKC18"/>
      <c r="CKD18"/>
      <c r="CKE18" s="10"/>
      <c r="CKF18" s="2"/>
      <c r="CKG18"/>
      <c r="CKH18" s="5"/>
      <c r="CKI18" s="2"/>
      <c r="CKJ18" s="7"/>
      <c r="CKK18"/>
      <c r="CKL18"/>
      <c r="CKM18" s="10"/>
      <c r="CKN18" s="2"/>
      <c r="CKO18"/>
      <c r="CKP18" s="5"/>
      <c r="CKQ18" s="2"/>
      <c r="CKR18" s="7"/>
      <c r="CKS18"/>
      <c r="CKT18"/>
      <c r="CKU18" s="10"/>
      <c r="CKV18" s="2"/>
      <c r="CKW18"/>
      <c r="CKX18" s="5"/>
      <c r="CKY18" s="2"/>
      <c r="CKZ18" s="7"/>
      <c r="CLA18"/>
      <c r="CLB18"/>
      <c r="CLC18" s="10"/>
      <c r="CLD18" s="2"/>
      <c r="CLE18"/>
      <c r="CLF18" s="5"/>
      <c r="CLG18" s="2"/>
      <c r="CLH18" s="7"/>
      <c r="CLI18"/>
      <c r="CLJ18"/>
      <c r="CLK18" s="10"/>
      <c r="CLL18" s="2"/>
      <c r="CLM18"/>
      <c r="CLN18" s="5"/>
      <c r="CLO18" s="2"/>
      <c r="CLP18" s="7"/>
      <c r="CLQ18"/>
      <c r="CLR18"/>
      <c r="CLS18" s="10"/>
      <c r="CLT18" s="2"/>
      <c r="CLU18"/>
      <c r="CLV18" s="5"/>
      <c r="CLW18" s="2"/>
      <c r="CLX18" s="7"/>
      <c r="CLY18"/>
      <c r="CLZ18"/>
      <c r="CMA18" s="10"/>
      <c r="CMB18" s="2"/>
      <c r="CMC18"/>
      <c r="CMD18" s="5"/>
      <c r="CME18" s="2"/>
      <c r="CMF18" s="7"/>
      <c r="CMG18"/>
      <c r="CMH18"/>
      <c r="CMI18" s="10"/>
      <c r="CMJ18" s="2"/>
      <c r="CMK18"/>
      <c r="CML18" s="5"/>
      <c r="CMM18" s="2"/>
      <c r="CMN18" s="7"/>
      <c r="CMO18"/>
      <c r="CMP18"/>
      <c r="CMQ18" s="10"/>
      <c r="CMR18" s="2"/>
      <c r="CMS18"/>
      <c r="CMT18" s="5"/>
      <c r="CMU18" s="2"/>
      <c r="CMV18" s="7"/>
      <c r="CMW18"/>
      <c r="CMX18"/>
      <c r="CMY18" s="10"/>
      <c r="CMZ18" s="2"/>
      <c r="CNA18"/>
      <c r="CNB18" s="5"/>
      <c r="CNC18" s="2"/>
      <c r="CND18" s="7"/>
      <c r="CNE18"/>
      <c r="CNF18"/>
      <c r="CNG18" s="10"/>
      <c r="CNH18" s="2"/>
      <c r="CNI18"/>
      <c r="CNJ18" s="5"/>
      <c r="CNK18" s="2"/>
      <c r="CNL18" s="7"/>
      <c r="CNM18"/>
      <c r="CNN18"/>
      <c r="CNO18" s="10"/>
      <c r="CNP18" s="2"/>
      <c r="CNQ18"/>
      <c r="CNR18" s="5"/>
      <c r="CNS18" s="2"/>
      <c r="CNT18" s="7"/>
      <c r="CNU18"/>
      <c r="CNV18"/>
      <c r="CNW18" s="10"/>
      <c r="CNX18" s="2"/>
      <c r="CNY18"/>
      <c r="CNZ18" s="5"/>
      <c r="COA18" s="2"/>
      <c r="COB18" s="7"/>
      <c r="COC18"/>
      <c r="COD18"/>
      <c r="COE18" s="10"/>
      <c r="COF18" s="2"/>
      <c r="COG18"/>
      <c r="COH18" s="5"/>
      <c r="COI18" s="2"/>
      <c r="COJ18" s="7"/>
      <c r="COK18"/>
      <c r="COL18"/>
      <c r="COM18" s="10"/>
      <c r="CON18" s="2"/>
      <c r="COO18"/>
      <c r="COP18" s="5"/>
      <c r="COQ18" s="2"/>
      <c r="COR18" s="7"/>
      <c r="COS18"/>
      <c r="COT18"/>
      <c r="COU18" s="10"/>
      <c r="COV18" s="2"/>
      <c r="COW18"/>
      <c r="COX18" s="5"/>
      <c r="COY18" s="2"/>
      <c r="COZ18" s="7"/>
      <c r="CPA18"/>
      <c r="CPB18"/>
      <c r="CPC18" s="10"/>
      <c r="CPD18" s="2"/>
      <c r="CPE18"/>
      <c r="CPF18" s="5"/>
      <c r="CPG18" s="2"/>
      <c r="CPH18" s="7"/>
      <c r="CPI18"/>
      <c r="CPJ18"/>
      <c r="CPK18" s="10"/>
      <c r="CPL18" s="2"/>
      <c r="CPM18"/>
      <c r="CPN18" s="5"/>
      <c r="CPO18" s="2"/>
      <c r="CPP18" s="7"/>
      <c r="CPQ18"/>
      <c r="CPR18"/>
      <c r="CPS18" s="10"/>
      <c r="CPT18" s="2"/>
      <c r="CPU18"/>
      <c r="CPV18" s="5"/>
      <c r="CPW18" s="2"/>
      <c r="CPX18" s="7"/>
      <c r="CPY18"/>
      <c r="CPZ18"/>
      <c r="CQA18" s="10"/>
      <c r="CQB18" s="2"/>
      <c r="CQC18"/>
      <c r="CQD18" s="5"/>
      <c r="CQE18" s="2"/>
      <c r="CQF18" s="7"/>
      <c r="CQG18"/>
      <c r="CQH18"/>
      <c r="CQI18" s="10"/>
      <c r="CQJ18" s="2"/>
      <c r="CQK18"/>
      <c r="CQL18" s="5"/>
      <c r="CQM18" s="2"/>
      <c r="CQN18" s="7"/>
      <c r="CQO18"/>
      <c r="CQP18"/>
      <c r="CQQ18" s="10"/>
      <c r="CQR18" s="2"/>
      <c r="CQS18"/>
      <c r="CQT18" s="5"/>
      <c r="CQU18" s="2"/>
      <c r="CQV18" s="7"/>
      <c r="CQW18"/>
      <c r="CQX18"/>
      <c r="CQY18" s="10"/>
      <c r="CQZ18" s="2"/>
      <c r="CRA18"/>
      <c r="CRB18" s="5"/>
      <c r="CRC18" s="2"/>
      <c r="CRD18" s="7"/>
      <c r="CRE18"/>
      <c r="CRF18"/>
      <c r="CRG18" s="10"/>
      <c r="CRH18" s="2"/>
      <c r="CRI18"/>
      <c r="CRJ18" s="5"/>
      <c r="CRK18" s="2"/>
      <c r="CRL18" s="7"/>
      <c r="CRM18"/>
      <c r="CRN18"/>
      <c r="CRO18" s="10"/>
      <c r="CRP18" s="2"/>
      <c r="CRQ18"/>
      <c r="CRR18" s="5"/>
      <c r="CRS18" s="2"/>
      <c r="CRT18" s="7"/>
      <c r="CRU18"/>
      <c r="CRV18"/>
      <c r="CRW18" s="10"/>
      <c r="CRX18" s="2"/>
      <c r="CRY18"/>
      <c r="CRZ18" s="5"/>
      <c r="CSA18" s="2"/>
      <c r="CSB18" s="7"/>
      <c r="CSC18"/>
      <c r="CSD18"/>
      <c r="CSE18" s="10"/>
      <c r="CSF18" s="2"/>
      <c r="CSG18"/>
      <c r="CSH18" s="5"/>
      <c r="CSI18" s="2"/>
      <c r="CSJ18" s="7"/>
      <c r="CSK18"/>
      <c r="CSL18"/>
      <c r="CSM18" s="10"/>
      <c r="CSN18" s="2"/>
      <c r="CSO18"/>
      <c r="CSP18" s="5"/>
      <c r="CSQ18" s="2"/>
      <c r="CSR18" s="7"/>
      <c r="CSS18"/>
      <c r="CST18"/>
      <c r="CSU18" s="10"/>
      <c r="CSV18" s="2"/>
      <c r="CSW18"/>
      <c r="CSX18" s="5"/>
      <c r="CSY18" s="2"/>
      <c r="CSZ18" s="7"/>
      <c r="CTA18"/>
      <c r="CTB18"/>
      <c r="CTC18" s="10"/>
      <c r="CTD18" s="2"/>
      <c r="CTE18"/>
      <c r="CTF18" s="5"/>
      <c r="CTG18" s="2"/>
      <c r="CTH18" s="7"/>
      <c r="CTI18"/>
      <c r="CTJ18"/>
      <c r="CTK18" s="10"/>
      <c r="CTL18" s="2"/>
      <c r="CTM18"/>
      <c r="CTN18" s="5"/>
      <c r="CTO18" s="2"/>
      <c r="CTP18" s="7"/>
      <c r="CTQ18"/>
      <c r="CTR18"/>
      <c r="CTS18" s="10"/>
      <c r="CTT18" s="2"/>
      <c r="CTU18"/>
      <c r="CTV18" s="5"/>
      <c r="CTW18" s="2"/>
      <c r="CTX18" s="7"/>
      <c r="CTY18"/>
      <c r="CTZ18"/>
      <c r="CUA18" s="10"/>
      <c r="CUB18" s="2"/>
      <c r="CUC18"/>
      <c r="CUD18" s="5"/>
      <c r="CUE18" s="2"/>
      <c r="CUF18" s="7"/>
      <c r="CUG18"/>
      <c r="CUH18"/>
      <c r="CUI18" s="10"/>
      <c r="CUJ18" s="2"/>
      <c r="CUK18"/>
      <c r="CUL18" s="5"/>
      <c r="CUM18" s="2"/>
      <c r="CUN18" s="7"/>
      <c r="CUO18"/>
      <c r="CUP18"/>
      <c r="CUQ18" s="10"/>
      <c r="CUR18" s="2"/>
      <c r="CUS18"/>
      <c r="CUT18" s="5"/>
      <c r="CUU18" s="2"/>
      <c r="CUV18" s="7"/>
      <c r="CUW18"/>
      <c r="CUX18"/>
      <c r="CUY18" s="10"/>
      <c r="CUZ18" s="2"/>
      <c r="CVA18"/>
      <c r="CVB18" s="5"/>
      <c r="CVC18" s="2"/>
      <c r="CVD18" s="7"/>
      <c r="CVE18"/>
      <c r="CVF18"/>
      <c r="CVG18" s="10"/>
      <c r="CVH18" s="2"/>
      <c r="CVI18"/>
      <c r="CVJ18" s="5"/>
      <c r="CVK18" s="2"/>
      <c r="CVL18" s="7"/>
      <c r="CVM18"/>
      <c r="CVN18"/>
      <c r="CVO18" s="10"/>
      <c r="CVP18" s="2"/>
      <c r="CVQ18"/>
      <c r="CVR18" s="5"/>
      <c r="CVS18" s="2"/>
      <c r="CVT18" s="7"/>
      <c r="CVU18"/>
      <c r="CVV18"/>
      <c r="CVW18" s="10"/>
      <c r="CVX18" s="2"/>
      <c r="CVY18"/>
      <c r="CVZ18" s="5"/>
      <c r="CWA18" s="2"/>
      <c r="CWB18" s="7"/>
      <c r="CWC18"/>
      <c r="CWD18"/>
      <c r="CWE18" s="10"/>
      <c r="CWF18" s="2"/>
      <c r="CWG18"/>
      <c r="CWH18" s="5"/>
      <c r="CWI18" s="2"/>
      <c r="CWJ18" s="7"/>
      <c r="CWK18"/>
      <c r="CWL18"/>
      <c r="CWM18" s="10"/>
      <c r="CWN18" s="2"/>
      <c r="CWO18"/>
      <c r="CWP18" s="5"/>
      <c r="CWQ18" s="2"/>
      <c r="CWR18" s="7"/>
      <c r="CWS18"/>
      <c r="CWT18"/>
      <c r="CWU18" s="10"/>
      <c r="CWV18" s="2"/>
      <c r="CWW18"/>
      <c r="CWX18" s="5"/>
      <c r="CWY18" s="2"/>
      <c r="CWZ18" s="7"/>
      <c r="CXA18"/>
      <c r="CXB18"/>
      <c r="CXC18" s="10"/>
      <c r="CXD18" s="2"/>
      <c r="CXE18"/>
      <c r="CXF18" s="5"/>
      <c r="CXG18" s="2"/>
      <c r="CXH18" s="7"/>
      <c r="CXI18"/>
      <c r="CXJ18"/>
      <c r="CXK18" s="10"/>
      <c r="CXL18" s="2"/>
      <c r="CXM18"/>
      <c r="CXN18" s="5"/>
      <c r="CXO18" s="2"/>
      <c r="CXP18" s="7"/>
      <c r="CXQ18"/>
      <c r="CXR18"/>
      <c r="CXS18" s="10"/>
      <c r="CXT18" s="2"/>
      <c r="CXU18"/>
      <c r="CXV18" s="5"/>
      <c r="CXW18" s="2"/>
      <c r="CXX18" s="7"/>
      <c r="CXY18"/>
      <c r="CXZ18"/>
      <c r="CYA18" s="10"/>
      <c r="CYB18" s="2"/>
      <c r="CYC18"/>
      <c r="CYD18" s="5"/>
      <c r="CYE18" s="2"/>
      <c r="CYF18" s="7"/>
      <c r="CYG18"/>
      <c r="CYH18"/>
      <c r="CYI18" s="10"/>
      <c r="CYJ18" s="2"/>
      <c r="CYK18"/>
      <c r="CYL18" s="5"/>
      <c r="CYM18" s="2"/>
      <c r="CYN18" s="7"/>
      <c r="CYO18"/>
      <c r="CYP18"/>
      <c r="CYQ18" s="10"/>
      <c r="CYR18" s="2"/>
      <c r="CYS18"/>
      <c r="CYT18" s="5"/>
      <c r="CYU18" s="2"/>
      <c r="CYV18" s="7"/>
      <c r="CYW18"/>
      <c r="CYX18"/>
      <c r="CYY18" s="10"/>
      <c r="CYZ18" s="2"/>
      <c r="CZA18"/>
      <c r="CZB18" s="5"/>
      <c r="CZC18" s="2"/>
      <c r="CZD18" s="7"/>
      <c r="CZE18"/>
      <c r="CZF18"/>
      <c r="CZG18" s="10"/>
      <c r="CZH18" s="2"/>
      <c r="CZI18"/>
      <c r="CZJ18" s="5"/>
      <c r="CZK18" s="2"/>
      <c r="CZL18" s="7"/>
      <c r="CZM18"/>
      <c r="CZN18"/>
      <c r="CZO18" s="10"/>
      <c r="CZP18" s="2"/>
      <c r="CZQ18"/>
      <c r="CZR18" s="5"/>
      <c r="CZS18" s="2"/>
      <c r="CZT18" s="7"/>
      <c r="CZU18"/>
      <c r="CZV18"/>
      <c r="CZW18" s="10"/>
      <c r="CZX18" s="2"/>
      <c r="CZY18"/>
      <c r="CZZ18" s="5"/>
      <c r="DAA18" s="2"/>
      <c r="DAB18" s="7"/>
      <c r="DAC18"/>
      <c r="DAD18"/>
      <c r="DAE18" s="10"/>
      <c r="DAF18" s="2"/>
      <c r="DAG18"/>
      <c r="DAH18" s="5"/>
      <c r="DAI18" s="2"/>
      <c r="DAJ18" s="7"/>
      <c r="DAK18"/>
      <c r="DAL18"/>
      <c r="DAM18" s="10"/>
      <c r="DAN18" s="2"/>
      <c r="DAO18"/>
      <c r="DAP18" s="5"/>
      <c r="DAQ18" s="2"/>
      <c r="DAR18" s="7"/>
      <c r="DAS18"/>
      <c r="DAT18"/>
      <c r="DAU18" s="10"/>
      <c r="DAV18" s="2"/>
      <c r="DAW18"/>
      <c r="DAX18" s="5"/>
      <c r="DAY18" s="2"/>
      <c r="DAZ18" s="7"/>
      <c r="DBA18"/>
      <c r="DBB18"/>
      <c r="DBC18" s="10"/>
      <c r="DBD18" s="2"/>
      <c r="DBE18"/>
      <c r="DBF18" s="5"/>
      <c r="DBG18" s="2"/>
      <c r="DBH18" s="7"/>
      <c r="DBI18"/>
      <c r="DBJ18"/>
      <c r="DBK18" s="10"/>
      <c r="DBL18" s="2"/>
      <c r="DBM18"/>
      <c r="DBN18" s="5"/>
      <c r="DBO18" s="2"/>
      <c r="DBP18" s="7"/>
      <c r="DBQ18"/>
      <c r="DBR18"/>
      <c r="DBS18" s="10"/>
      <c r="DBT18" s="2"/>
      <c r="DBU18"/>
      <c r="DBV18" s="5"/>
      <c r="DBW18" s="2"/>
      <c r="DBX18" s="7"/>
      <c r="DBY18"/>
      <c r="DBZ18"/>
      <c r="DCA18" s="10"/>
      <c r="DCB18" s="2"/>
      <c r="DCC18"/>
      <c r="DCD18" s="5"/>
      <c r="DCE18" s="2"/>
      <c r="DCF18" s="7"/>
      <c r="DCG18"/>
      <c r="DCH18"/>
      <c r="DCI18" s="10"/>
      <c r="DCJ18" s="2"/>
      <c r="DCK18"/>
      <c r="DCL18" s="5"/>
      <c r="DCM18" s="2"/>
      <c r="DCN18" s="7"/>
      <c r="DCO18"/>
      <c r="DCP18"/>
      <c r="DCQ18" s="10"/>
      <c r="DCR18" s="2"/>
      <c r="DCS18"/>
      <c r="DCT18" s="5"/>
      <c r="DCU18" s="2"/>
      <c r="DCV18" s="7"/>
      <c r="DCW18"/>
      <c r="DCX18"/>
      <c r="DCY18" s="10"/>
      <c r="DCZ18" s="2"/>
      <c r="DDA18"/>
      <c r="DDB18" s="5"/>
      <c r="DDC18" s="2"/>
      <c r="DDD18" s="7"/>
      <c r="DDE18"/>
      <c r="DDF18"/>
      <c r="DDG18" s="10"/>
      <c r="DDH18" s="2"/>
      <c r="DDI18"/>
      <c r="DDJ18" s="5"/>
      <c r="DDK18" s="2"/>
      <c r="DDL18" s="7"/>
      <c r="DDM18"/>
      <c r="DDN18"/>
      <c r="DDO18" s="10"/>
      <c r="DDP18" s="2"/>
      <c r="DDQ18"/>
      <c r="DDR18" s="5"/>
      <c r="DDS18" s="2"/>
      <c r="DDT18" s="7"/>
      <c r="DDU18"/>
      <c r="DDV18"/>
      <c r="DDW18" s="10"/>
      <c r="DDX18" s="2"/>
      <c r="DDY18"/>
      <c r="DDZ18" s="5"/>
      <c r="DEA18" s="2"/>
      <c r="DEB18" s="7"/>
      <c r="DEC18"/>
      <c r="DED18"/>
      <c r="DEE18" s="10"/>
      <c r="DEF18" s="2"/>
      <c r="DEG18"/>
      <c r="DEH18" s="5"/>
      <c r="DEI18" s="2"/>
      <c r="DEJ18" s="7"/>
      <c r="DEK18"/>
      <c r="DEL18"/>
      <c r="DEM18" s="10"/>
      <c r="DEN18" s="2"/>
      <c r="DEO18"/>
      <c r="DEP18" s="5"/>
      <c r="DEQ18" s="2"/>
      <c r="DER18" s="7"/>
      <c r="DES18"/>
      <c r="DET18"/>
      <c r="DEU18" s="10"/>
      <c r="DEV18" s="2"/>
      <c r="DEW18"/>
      <c r="DEX18" s="5"/>
      <c r="DEY18" s="2"/>
      <c r="DEZ18" s="7"/>
      <c r="DFA18"/>
      <c r="DFB18"/>
      <c r="DFC18" s="10"/>
      <c r="DFD18" s="2"/>
      <c r="DFE18"/>
      <c r="DFF18" s="5"/>
      <c r="DFG18" s="2"/>
      <c r="DFH18" s="7"/>
      <c r="DFI18"/>
      <c r="DFJ18"/>
      <c r="DFK18" s="10"/>
      <c r="DFL18" s="2"/>
      <c r="DFM18"/>
      <c r="DFN18" s="5"/>
      <c r="DFO18" s="2"/>
      <c r="DFP18" s="7"/>
      <c r="DFQ18"/>
      <c r="DFR18"/>
      <c r="DFS18" s="10"/>
      <c r="DFT18" s="2"/>
      <c r="DFU18"/>
      <c r="DFV18" s="5"/>
      <c r="DFW18" s="2"/>
      <c r="DFX18" s="7"/>
      <c r="DFY18"/>
      <c r="DFZ18"/>
      <c r="DGA18" s="10"/>
      <c r="DGB18" s="2"/>
      <c r="DGC18"/>
      <c r="DGD18" s="5"/>
      <c r="DGE18" s="2"/>
      <c r="DGF18" s="7"/>
      <c r="DGG18"/>
      <c r="DGH18"/>
      <c r="DGI18" s="10"/>
      <c r="DGJ18" s="2"/>
      <c r="DGK18"/>
      <c r="DGL18" s="5"/>
      <c r="DGM18" s="2"/>
      <c r="DGN18" s="7"/>
      <c r="DGO18"/>
      <c r="DGP18"/>
      <c r="DGQ18" s="10"/>
      <c r="DGR18" s="2"/>
      <c r="DGS18"/>
      <c r="DGT18" s="5"/>
      <c r="DGU18" s="2"/>
      <c r="DGV18" s="7"/>
      <c r="DGW18"/>
      <c r="DGX18"/>
      <c r="DGY18" s="10"/>
      <c r="DGZ18" s="2"/>
      <c r="DHA18"/>
      <c r="DHB18" s="5"/>
      <c r="DHC18" s="2"/>
      <c r="DHD18" s="7"/>
      <c r="DHE18"/>
      <c r="DHF18"/>
      <c r="DHG18" s="10"/>
      <c r="DHH18" s="2"/>
      <c r="DHI18"/>
      <c r="DHJ18" s="5"/>
      <c r="DHK18" s="2"/>
      <c r="DHL18" s="7"/>
      <c r="DHM18"/>
      <c r="DHN18"/>
      <c r="DHO18" s="10"/>
      <c r="DHP18" s="2"/>
      <c r="DHQ18"/>
      <c r="DHR18" s="5"/>
      <c r="DHS18" s="2"/>
      <c r="DHT18" s="7"/>
      <c r="DHU18"/>
      <c r="DHV18"/>
      <c r="DHW18" s="10"/>
      <c r="DHX18" s="2"/>
      <c r="DHY18"/>
      <c r="DHZ18" s="5"/>
      <c r="DIA18" s="2"/>
      <c r="DIB18" s="7"/>
      <c r="DIC18"/>
      <c r="DID18"/>
      <c r="DIE18" s="10"/>
      <c r="DIF18" s="2"/>
      <c r="DIG18"/>
      <c r="DIH18" s="5"/>
      <c r="DII18" s="2"/>
      <c r="DIJ18" s="7"/>
      <c r="DIK18"/>
      <c r="DIL18"/>
      <c r="DIM18" s="10"/>
      <c r="DIN18" s="2"/>
      <c r="DIO18"/>
      <c r="DIP18" s="5"/>
      <c r="DIQ18" s="2"/>
      <c r="DIR18" s="7"/>
      <c r="DIS18"/>
      <c r="DIT18"/>
      <c r="DIU18" s="10"/>
      <c r="DIV18" s="2"/>
      <c r="DIW18"/>
      <c r="DIX18" s="5"/>
      <c r="DIY18" s="2"/>
      <c r="DIZ18" s="7"/>
      <c r="DJA18"/>
      <c r="DJB18"/>
      <c r="DJC18" s="10"/>
      <c r="DJD18" s="2"/>
      <c r="DJE18"/>
      <c r="DJF18" s="5"/>
      <c r="DJG18" s="2"/>
      <c r="DJH18" s="7"/>
      <c r="DJI18"/>
      <c r="DJJ18"/>
      <c r="DJK18" s="10"/>
      <c r="DJL18" s="2"/>
      <c r="DJM18"/>
      <c r="DJN18" s="5"/>
      <c r="DJO18" s="2"/>
      <c r="DJP18" s="7"/>
      <c r="DJQ18"/>
      <c r="DJR18"/>
      <c r="DJS18" s="10"/>
      <c r="DJT18" s="2"/>
      <c r="DJU18"/>
      <c r="DJV18" s="5"/>
      <c r="DJW18" s="2"/>
      <c r="DJX18" s="7"/>
      <c r="DJY18"/>
      <c r="DJZ18"/>
      <c r="DKA18" s="10"/>
      <c r="DKB18" s="2"/>
      <c r="DKC18"/>
      <c r="DKD18" s="5"/>
      <c r="DKE18" s="2"/>
      <c r="DKF18" s="7"/>
      <c r="DKG18"/>
      <c r="DKH18"/>
      <c r="DKI18" s="10"/>
      <c r="DKJ18" s="2"/>
      <c r="DKK18"/>
      <c r="DKL18" s="5"/>
      <c r="DKM18" s="2"/>
      <c r="DKN18" s="7"/>
      <c r="DKO18"/>
      <c r="DKP18"/>
      <c r="DKQ18" s="10"/>
      <c r="DKR18" s="2"/>
      <c r="DKS18"/>
      <c r="DKT18" s="5"/>
      <c r="DKU18" s="2"/>
      <c r="DKV18" s="7"/>
      <c r="DKW18"/>
      <c r="DKX18"/>
      <c r="DKY18" s="10"/>
      <c r="DKZ18" s="2"/>
      <c r="DLA18"/>
      <c r="DLB18" s="5"/>
      <c r="DLC18" s="2"/>
      <c r="DLD18" s="7"/>
      <c r="DLE18"/>
      <c r="DLF18"/>
      <c r="DLG18" s="10"/>
      <c r="DLH18" s="2"/>
      <c r="DLI18"/>
      <c r="DLJ18" s="5"/>
      <c r="DLK18" s="2"/>
      <c r="DLL18" s="7"/>
      <c r="DLM18"/>
      <c r="DLN18"/>
      <c r="DLO18" s="10"/>
      <c r="DLP18" s="2"/>
      <c r="DLQ18"/>
      <c r="DLR18" s="5"/>
      <c r="DLS18" s="2"/>
      <c r="DLT18" s="7"/>
      <c r="DLU18"/>
      <c r="DLV18"/>
      <c r="DLW18" s="10"/>
      <c r="DLX18" s="2"/>
      <c r="DLY18"/>
      <c r="DLZ18" s="5"/>
      <c r="DMA18" s="2"/>
      <c r="DMB18" s="7"/>
      <c r="DMC18"/>
      <c r="DMD18"/>
      <c r="DME18" s="10"/>
      <c r="DMF18" s="2"/>
      <c r="DMG18"/>
      <c r="DMH18" s="5"/>
      <c r="DMI18" s="2"/>
      <c r="DMJ18" s="7"/>
      <c r="DMK18"/>
      <c r="DML18"/>
      <c r="DMM18" s="10"/>
      <c r="DMN18" s="2"/>
      <c r="DMO18"/>
      <c r="DMP18" s="5"/>
      <c r="DMQ18" s="2"/>
      <c r="DMR18" s="7"/>
      <c r="DMS18"/>
      <c r="DMT18"/>
      <c r="DMU18" s="10"/>
      <c r="DMV18" s="2"/>
      <c r="DMW18"/>
      <c r="DMX18" s="5"/>
      <c r="DMY18" s="2"/>
      <c r="DMZ18" s="7"/>
      <c r="DNA18"/>
      <c r="DNB18"/>
      <c r="DNC18" s="10"/>
      <c r="DND18" s="2"/>
      <c r="DNE18"/>
      <c r="DNF18" s="5"/>
      <c r="DNG18" s="2"/>
      <c r="DNH18" s="7"/>
      <c r="DNI18"/>
      <c r="DNJ18"/>
      <c r="DNK18" s="10"/>
      <c r="DNL18" s="2"/>
      <c r="DNM18"/>
      <c r="DNN18" s="5"/>
      <c r="DNO18" s="2"/>
      <c r="DNP18" s="7"/>
      <c r="DNQ18"/>
      <c r="DNR18"/>
      <c r="DNS18" s="10"/>
      <c r="DNT18" s="2"/>
      <c r="DNU18"/>
      <c r="DNV18" s="5"/>
      <c r="DNW18" s="2"/>
      <c r="DNX18" s="7"/>
      <c r="DNY18"/>
      <c r="DNZ18"/>
      <c r="DOA18" s="10"/>
      <c r="DOB18" s="2"/>
      <c r="DOC18"/>
      <c r="DOD18" s="5"/>
      <c r="DOE18" s="2"/>
      <c r="DOF18" s="7"/>
      <c r="DOG18"/>
      <c r="DOH18"/>
      <c r="DOI18" s="10"/>
      <c r="DOJ18" s="2"/>
      <c r="DOK18"/>
      <c r="DOL18" s="5"/>
      <c r="DOM18" s="2"/>
      <c r="DON18" s="7"/>
      <c r="DOO18"/>
      <c r="DOP18"/>
      <c r="DOQ18" s="10"/>
      <c r="DOR18" s="2"/>
      <c r="DOS18"/>
      <c r="DOT18" s="5"/>
      <c r="DOU18" s="2"/>
      <c r="DOV18" s="7"/>
      <c r="DOW18"/>
      <c r="DOX18"/>
      <c r="DOY18" s="10"/>
      <c r="DOZ18" s="2"/>
      <c r="DPA18"/>
      <c r="DPB18" s="5"/>
      <c r="DPC18" s="2"/>
      <c r="DPD18" s="7"/>
      <c r="DPE18"/>
      <c r="DPF18"/>
      <c r="DPG18" s="10"/>
      <c r="DPH18" s="2"/>
      <c r="DPI18"/>
      <c r="DPJ18" s="5"/>
      <c r="DPK18" s="2"/>
      <c r="DPL18" s="7"/>
      <c r="DPM18"/>
      <c r="DPN18"/>
      <c r="DPO18" s="10"/>
      <c r="DPP18" s="2"/>
      <c r="DPQ18"/>
      <c r="DPR18" s="5"/>
      <c r="DPS18" s="2"/>
      <c r="DPT18" s="7"/>
      <c r="DPU18"/>
      <c r="DPV18"/>
      <c r="DPW18" s="10"/>
      <c r="DPX18" s="2"/>
      <c r="DPY18"/>
      <c r="DPZ18" s="5"/>
      <c r="DQA18" s="2"/>
      <c r="DQB18" s="7"/>
      <c r="DQC18"/>
      <c r="DQD18"/>
      <c r="DQE18" s="10"/>
      <c r="DQF18" s="2"/>
      <c r="DQG18"/>
      <c r="DQH18" s="5"/>
      <c r="DQI18" s="2"/>
      <c r="DQJ18" s="7"/>
      <c r="DQK18"/>
      <c r="DQL18"/>
      <c r="DQM18" s="10"/>
      <c r="DQN18" s="2"/>
      <c r="DQO18"/>
      <c r="DQP18" s="5"/>
      <c r="DQQ18" s="2"/>
      <c r="DQR18" s="7"/>
      <c r="DQS18"/>
      <c r="DQT18"/>
      <c r="DQU18" s="10"/>
      <c r="DQV18" s="2"/>
      <c r="DQW18"/>
      <c r="DQX18" s="5"/>
      <c r="DQY18" s="2"/>
      <c r="DQZ18" s="7"/>
      <c r="DRA18"/>
      <c r="DRB18"/>
      <c r="DRC18" s="10"/>
      <c r="DRD18" s="2"/>
      <c r="DRE18"/>
      <c r="DRF18" s="5"/>
      <c r="DRG18" s="2"/>
      <c r="DRH18" s="7"/>
      <c r="DRI18"/>
      <c r="DRJ18"/>
      <c r="DRK18" s="10"/>
      <c r="DRL18" s="2"/>
      <c r="DRM18"/>
      <c r="DRN18" s="5"/>
      <c r="DRO18" s="2"/>
      <c r="DRP18" s="7"/>
      <c r="DRQ18"/>
      <c r="DRR18"/>
      <c r="DRS18" s="10"/>
      <c r="DRT18" s="2"/>
      <c r="DRU18"/>
      <c r="DRV18" s="5"/>
      <c r="DRW18" s="2"/>
      <c r="DRX18" s="7"/>
      <c r="DRY18"/>
      <c r="DRZ18"/>
      <c r="DSA18" s="10"/>
      <c r="DSB18" s="2"/>
      <c r="DSC18"/>
      <c r="DSD18" s="5"/>
      <c r="DSE18" s="2"/>
      <c r="DSF18" s="7"/>
      <c r="DSG18"/>
      <c r="DSH18"/>
      <c r="DSI18" s="10"/>
      <c r="DSJ18" s="2"/>
      <c r="DSK18"/>
      <c r="DSL18" s="5"/>
      <c r="DSM18" s="2"/>
      <c r="DSN18" s="7"/>
      <c r="DSO18"/>
      <c r="DSP18"/>
      <c r="DSQ18" s="10"/>
      <c r="DSR18" s="2"/>
      <c r="DSS18"/>
      <c r="DST18" s="5"/>
      <c r="DSU18" s="2"/>
      <c r="DSV18" s="7"/>
      <c r="DSW18"/>
      <c r="DSX18"/>
      <c r="DSY18" s="10"/>
      <c r="DSZ18" s="2"/>
      <c r="DTA18"/>
      <c r="DTB18" s="5"/>
      <c r="DTC18" s="2"/>
      <c r="DTD18" s="7"/>
      <c r="DTE18"/>
      <c r="DTF18"/>
      <c r="DTG18" s="10"/>
      <c r="DTH18" s="2"/>
      <c r="DTI18"/>
      <c r="DTJ18" s="5"/>
      <c r="DTK18" s="2"/>
      <c r="DTL18" s="7"/>
      <c r="DTM18"/>
      <c r="DTN18"/>
      <c r="DTO18" s="10"/>
      <c r="DTP18" s="2"/>
      <c r="DTQ18"/>
      <c r="DTR18" s="5"/>
      <c r="DTS18" s="2"/>
      <c r="DTT18" s="7"/>
      <c r="DTU18"/>
      <c r="DTV18"/>
      <c r="DTW18" s="10"/>
      <c r="DTX18" s="2"/>
      <c r="DTY18"/>
      <c r="DTZ18" s="5"/>
      <c r="DUA18" s="2"/>
      <c r="DUB18" s="7"/>
      <c r="DUC18"/>
      <c r="DUD18"/>
      <c r="DUE18" s="10"/>
      <c r="DUF18" s="2"/>
      <c r="DUG18"/>
      <c r="DUH18" s="5"/>
      <c r="DUI18" s="2"/>
      <c r="DUJ18" s="7"/>
      <c r="DUK18"/>
      <c r="DUL18"/>
      <c r="DUM18" s="10"/>
      <c r="DUN18" s="2"/>
      <c r="DUO18"/>
      <c r="DUP18" s="5"/>
      <c r="DUQ18" s="2"/>
      <c r="DUR18" s="7"/>
      <c r="DUS18"/>
      <c r="DUT18"/>
      <c r="DUU18" s="10"/>
      <c r="DUV18" s="2"/>
      <c r="DUW18"/>
      <c r="DUX18" s="5"/>
      <c r="DUY18" s="2"/>
      <c r="DUZ18" s="7"/>
      <c r="DVA18"/>
      <c r="DVB18"/>
      <c r="DVC18" s="10"/>
      <c r="DVD18" s="2"/>
      <c r="DVE18"/>
      <c r="DVF18" s="5"/>
      <c r="DVG18" s="2"/>
      <c r="DVH18" s="7"/>
      <c r="DVI18"/>
      <c r="DVJ18"/>
      <c r="DVK18" s="10"/>
      <c r="DVL18" s="2"/>
      <c r="DVM18"/>
      <c r="DVN18" s="5"/>
      <c r="DVO18" s="2"/>
      <c r="DVP18" s="7"/>
      <c r="DVQ18"/>
      <c r="DVR18"/>
      <c r="DVS18" s="10"/>
      <c r="DVT18" s="2"/>
      <c r="DVU18"/>
      <c r="DVV18" s="5"/>
      <c r="DVW18" s="2"/>
      <c r="DVX18" s="7"/>
      <c r="DVY18"/>
      <c r="DVZ18"/>
      <c r="DWA18" s="10"/>
      <c r="DWB18" s="2"/>
      <c r="DWC18"/>
      <c r="DWD18" s="5"/>
      <c r="DWE18" s="2"/>
      <c r="DWF18" s="7"/>
      <c r="DWG18"/>
      <c r="DWH18"/>
      <c r="DWI18" s="10"/>
      <c r="DWJ18" s="2"/>
      <c r="DWK18"/>
      <c r="DWL18" s="5"/>
      <c r="DWM18" s="2"/>
      <c r="DWN18" s="7"/>
      <c r="DWO18"/>
      <c r="DWP18"/>
      <c r="DWQ18" s="10"/>
      <c r="DWR18" s="2"/>
      <c r="DWS18"/>
      <c r="DWT18" s="5"/>
      <c r="DWU18" s="2"/>
      <c r="DWV18" s="7"/>
      <c r="DWW18"/>
      <c r="DWX18"/>
      <c r="DWY18" s="10"/>
      <c r="DWZ18" s="2"/>
      <c r="DXA18"/>
      <c r="DXB18" s="5"/>
      <c r="DXC18" s="2"/>
      <c r="DXD18" s="7"/>
      <c r="DXE18"/>
      <c r="DXF18"/>
      <c r="DXG18" s="10"/>
      <c r="DXH18" s="2"/>
      <c r="DXI18"/>
      <c r="DXJ18" s="5"/>
      <c r="DXK18" s="2"/>
      <c r="DXL18" s="7"/>
      <c r="DXM18"/>
      <c r="DXN18"/>
      <c r="DXO18" s="10"/>
      <c r="DXP18" s="2"/>
      <c r="DXQ18"/>
      <c r="DXR18" s="5"/>
      <c r="DXS18" s="2"/>
      <c r="DXT18" s="7"/>
      <c r="DXU18"/>
      <c r="DXV18"/>
      <c r="DXW18" s="10"/>
      <c r="DXX18" s="2"/>
      <c r="DXY18"/>
      <c r="DXZ18" s="5"/>
      <c r="DYA18" s="2"/>
      <c r="DYB18" s="7"/>
      <c r="DYC18"/>
      <c r="DYD18"/>
      <c r="DYE18" s="10"/>
      <c r="DYF18" s="2"/>
      <c r="DYG18"/>
      <c r="DYH18" s="5"/>
      <c r="DYI18" s="2"/>
      <c r="DYJ18" s="7"/>
      <c r="DYK18"/>
      <c r="DYL18"/>
      <c r="DYM18" s="10"/>
      <c r="DYN18" s="2"/>
      <c r="DYO18"/>
      <c r="DYP18" s="5"/>
      <c r="DYQ18" s="2"/>
      <c r="DYR18" s="7"/>
      <c r="DYS18"/>
      <c r="DYT18"/>
      <c r="DYU18" s="10"/>
      <c r="DYV18" s="2"/>
      <c r="DYW18"/>
      <c r="DYX18" s="5"/>
      <c r="DYY18" s="2"/>
      <c r="DYZ18" s="7"/>
      <c r="DZA18"/>
      <c r="DZB18"/>
      <c r="DZC18" s="10"/>
      <c r="DZD18" s="2"/>
      <c r="DZE18"/>
      <c r="DZF18" s="5"/>
      <c r="DZG18" s="2"/>
      <c r="DZH18" s="7"/>
      <c r="DZI18"/>
      <c r="DZJ18"/>
      <c r="DZK18" s="10"/>
      <c r="DZL18" s="2"/>
      <c r="DZM18"/>
      <c r="DZN18" s="5"/>
      <c r="DZO18" s="2"/>
      <c r="DZP18" s="7"/>
      <c r="DZQ18"/>
      <c r="DZR18"/>
      <c r="DZS18" s="10"/>
      <c r="DZT18" s="2"/>
      <c r="DZU18"/>
      <c r="DZV18" s="5"/>
      <c r="DZW18" s="2"/>
      <c r="DZX18" s="7"/>
      <c r="DZY18"/>
      <c r="DZZ18"/>
      <c r="EAA18" s="10"/>
      <c r="EAB18" s="2"/>
      <c r="EAC18"/>
      <c r="EAD18" s="5"/>
      <c r="EAE18" s="2"/>
      <c r="EAF18" s="7"/>
      <c r="EAG18"/>
      <c r="EAH18"/>
      <c r="EAI18" s="10"/>
      <c r="EAJ18" s="2"/>
      <c r="EAK18"/>
      <c r="EAL18" s="5"/>
      <c r="EAM18" s="2"/>
      <c r="EAN18" s="7"/>
      <c r="EAO18"/>
      <c r="EAP18"/>
      <c r="EAQ18" s="10"/>
      <c r="EAR18" s="2"/>
      <c r="EAS18"/>
      <c r="EAT18" s="5"/>
      <c r="EAU18" s="2"/>
      <c r="EAV18" s="7"/>
      <c r="EAW18"/>
      <c r="EAX18"/>
      <c r="EAY18" s="10"/>
      <c r="EAZ18" s="2"/>
      <c r="EBA18"/>
      <c r="EBB18" s="5"/>
      <c r="EBC18" s="2"/>
      <c r="EBD18" s="7"/>
      <c r="EBE18"/>
      <c r="EBF18"/>
      <c r="EBG18" s="10"/>
      <c r="EBH18" s="2"/>
      <c r="EBI18"/>
      <c r="EBJ18" s="5"/>
      <c r="EBK18" s="2"/>
      <c r="EBL18" s="7"/>
      <c r="EBM18"/>
      <c r="EBN18"/>
      <c r="EBO18" s="10"/>
      <c r="EBP18" s="2"/>
      <c r="EBQ18"/>
      <c r="EBR18" s="5"/>
      <c r="EBS18" s="2"/>
      <c r="EBT18" s="7"/>
      <c r="EBU18"/>
      <c r="EBV18"/>
      <c r="EBW18" s="10"/>
      <c r="EBX18" s="2"/>
      <c r="EBY18"/>
      <c r="EBZ18" s="5"/>
      <c r="ECA18" s="2"/>
      <c r="ECB18" s="7"/>
      <c r="ECC18"/>
      <c r="ECD18"/>
      <c r="ECE18" s="10"/>
      <c r="ECF18" s="2"/>
      <c r="ECG18"/>
      <c r="ECH18" s="5"/>
      <c r="ECI18" s="2"/>
      <c r="ECJ18" s="7"/>
      <c r="ECK18"/>
      <c r="ECL18"/>
      <c r="ECM18" s="10"/>
      <c r="ECN18" s="2"/>
      <c r="ECO18"/>
      <c r="ECP18" s="5"/>
      <c r="ECQ18" s="2"/>
      <c r="ECR18" s="7"/>
      <c r="ECS18"/>
      <c r="ECT18"/>
      <c r="ECU18" s="10"/>
      <c r="ECV18" s="2"/>
      <c r="ECW18"/>
      <c r="ECX18" s="5"/>
      <c r="ECY18" s="2"/>
      <c r="ECZ18" s="7"/>
      <c r="EDA18"/>
      <c r="EDB18"/>
      <c r="EDC18" s="10"/>
      <c r="EDD18" s="2"/>
      <c r="EDE18"/>
      <c r="EDF18" s="5"/>
      <c r="EDG18" s="2"/>
      <c r="EDH18" s="7"/>
      <c r="EDI18"/>
      <c r="EDJ18"/>
      <c r="EDK18" s="10"/>
      <c r="EDL18" s="2"/>
      <c r="EDM18"/>
      <c r="EDN18" s="5"/>
      <c r="EDO18" s="2"/>
      <c r="EDP18" s="7"/>
      <c r="EDQ18"/>
      <c r="EDR18"/>
      <c r="EDS18" s="10"/>
      <c r="EDT18" s="2"/>
      <c r="EDU18"/>
      <c r="EDV18" s="5"/>
      <c r="EDW18" s="2"/>
      <c r="EDX18" s="7"/>
      <c r="EDY18"/>
      <c r="EDZ18"/>
      <c r="EEA18" s="10"/>
      <c r="EEB18" s="2"/>
      <c r="EEC18"/>
      <c r="EED18" s="5"/>
      <c r="EEE18" s="2"/>
      <c r="EEF18" s="7"/>
      <c r="EEG18"/>
      <c r="EEH18"/>
      <c r="EEI18" s="10"/>
      <c r="EEJ18" s="2"/>
      <c r="EEK18"/>
      <c r="EEL18" s="5"/>
      <c r="EEM18" s="2"/>
      <c r="EEN18" s="7"/>
      <c r="EEO18"/>
      <c r="EEP18"/>
      <c r="EEQ18" s="10"/>
      <c r="EER18" s="2"/>
      <c r="EES18"/>
      <c r="EET18" s="5"/>
      <c r="EEU18" s="2"/>
      <c r="EEV18" s="7"/>
      <c r="EEW18"/>
      <c r="EEX18"/>
      <c r="EEY18" s="10"/>
      <c r="EEZ18" s="2"/>
      <c r="EFA18"/>
      <c r="EFB18" s="5"/>
      <c r="EFC18" s="2"/>
      <c r="EFD18" s="7"/>
      <c r="EFE18"/>
      <c r="EFF18"/>
      <c r="EFG18" s="10"/>
      <c r="EFH18" s="2"/>
      <c r="EFI18"/>
      <c r="EFJ18" s="5"/>
      <c r="EFK18" s="2"/>
      <c r="EFL18" s="7"/>
      <c r="EFM18"/>
      <c r="EFN18"/>
      <c r="EFO18" s="10"/>
      <c r="EFP18" s="2"/>
      <c r="EFQ18"/>
      <c r="EFR18" s="5"/>
      <c r="EFS18" s="2"/>
      <c r="EFT18" s="7"/>
      <c r="EFU18"/>
      <c r="EFV18"/>
      <c r="EFW18" s="10"/>
      <c r="EFX18" s="2"/>
      <c r="EFY18"/>
      <c r="EFZ18" s="5"/>
      <c r="EGA18" s="2"/>
      <c r="EGB18" s="7"/>
      <c r="EGC18"/>
      <c r="EGD18"/>
      <c r="EGE18" s="10"/>
      <c r="EGF18" s="2"/>
      <c r="EGG18"/>
      <c r="EGH18" s="5"/>
      <c r="EGI18" s="2"/>
      <c r="EGJ18" s="7"/>
      <c r="EGK18"/>
      <c r="EGL18"/>
      <c r="EGM18" s="10"/>
      <c r="EGN18" s="2"/>
      <c r="EGO18"/>
      <c r="EGP18" s="5"/>
      <c r="EGQ18" s="2"/>
      <c r="EGR18" s="7"/>
      <c r="EGS18"/>
      <c r="EGT18"/>
      <c r="EGU18" s="10"/>
      <c r="EGV18" s="2"/>
      <c r="EGW18"/>
      <c r="EGX18" s="5"/>
      <c r="EGY18" s="2"/>
      <c r="EGZ18" s="7"/>
      <c r="EHA18"/>
      <c r="EHB18"/>
      <c r="EHC18" s="10"/>
      <c r="EHD18" s="2"/>
      <c r="EHE18"/>
      <c r="EHF18" s="5"/>
      <c r="EHG18" s="2"/>
      <c r="EHH18" s="7"/>
      <c r="EHI18"/>
      <c r="EHJ18"/>
      <c r="EHK18" s="10"/>
      <c r="EHL18" s="2"/>
      <c r="EHM18"/>
      <c r="EHN18" s="5"/>
      <c r="EHO18" s="2"/>
      <c r="EHP18" s="7"/>
      <c r="EHQ18"/>
      <c r="EHR18"/>
      <c r="EHS18" s="10"/>
      <c r="EHT18" s="2"/>
      <c r="EHU18"/>
      <c r="EHV18" s="5"/>
      <c r="EHW18" s="2"/>
      <c r="EHX18" s="7"/>
      <c r="EHY18"/>
      <c r="EHZ18"/>
      <c r="EIA18" s="10"/>
      <c r="EIB18" s="2"/>
      <c r="EIC18"/>
      <c r="EID18" s="5"/>
      <c r="EIE18" s="2"/>
      <c r="EIF18" s="7"/>
      <c r="EIG18"/>
      <c r="EIH18"/>
      <c r="EII18" s="10"/>
      <c r="EIJ18" s="2"/>
      <c r="EIK18"/>
      <c r="EIL18" s="5"/>
      <c r="EIM18" s="2"/>
      <c r="EIN18" s="7"/>
      <c r="EIO18"/>
      <c r="EIP18"/>
      <c r="EIQ18" s="10"/>
      <c r="EIR18" s="2"/>
      <c r="EIS18"/>
      <c r="EIT18" s="5"/>
      <c r="EIU18" s="2"/>
      <c r="EIV18" s="7"/>
      <c r="EIW18"/>
      <c r="EIX18"/>
      <c r="EIY18" s="10"/>
      <c r="EIZ18" s="2"/>
      <c r="EJA18"/>
      <c r="EJB18" s="5"/>
      <c r="EJC18" s="2"/>
      <c r="EJD18" s="7"/>
      <c r="EJE18"/>
      <c r="EJF18"/>
      <c r="EJG18" s="10"/>
      <c r="EJH18" s="2"/>
      <c r="EJI18"/>
      <c r="EJJ18" s="5"/>
      <c r="EJK18" s="2"/>
      <c r="EJL18" s="7"/>
      <c r="EJM18"/>
      <c r="EJN18"/>
      <c r="EJO18" s="10"/>
      <c r="EJP18" s="2"/>
      <c r="EJQ18"/>
      <c r="EJR18" s="5"/>
      <c r="EJS18" s="2"/>
      <c r="EJT18" s="7"/>
      <c r="EJU18"/>
      <c r="EJV18"/>
      <c r="EJW18" s="10"/>
      <c r="EJX18" s="2"/>
      <c r="EJY18"/>
      <c r="EJZ18" s="5"/>
      <c r="EKA18" s="2"/>
      <c r="EKB18" s="7"/>
      <c r="EKC18"/>
      <c r="EKD18"/>
      <c r="EKE18" s="10"/>
      <c r="EKF18" s="2"/>
      <c r="EKG18"/>
      <c r="EKH18" s="5"/>
      <c r="EKI18" s="2"/>
      <c r="EKJ18" s="7"/>
      <c r="EKK18"/>
      <c r="EKL18"/>
      <c r="EKM18" s="10"/>
      <c r="EKN18" s="2"/>
      <c r="EKO18"/>
      <c r="EKP18" s="5"/>
      <c r="EKQ18" s="2"/>
      <c r="EKR18" s="7"/>
      <c r="EKS18"/>
      <c r="EKT18"/>
      <c r="EKU18" s="10"/>
      <c r="EKV18" s="2"/>
      <c r="EKW18"/>
      <c r="EKX18" s="5"/>
      <c r="EKY18" s="2"/>
      <c r="EKZ18" s="7"/>
      <c r="ELA18"/>
      <c r="ELB18"/>
      <c r="ELC18" s="10"/>
      <c r="ELD18" s="2"/>
      <c r="ELE18"/>
      <c r="ELF18" s="5"/>
      <c r="ELG18" s="2"/>
      <c r="ELH18" s="7"/>
      <c r="ELI18"/>
      <c r="ELJ18"/>
      <c r="ELK18" s="10"/>
      <c r="ELL18" s="2"/>
      <c r="ELM18"/>
      <c r="ELN18" s="5"/>
      <c r="ELO18" s="2"/>
      <c r="ELP18" s="7"/>
      <c r="ELQ18"/>
      <c r="ELR18"/>
      <c r="ELS18" s="10"/>
      <c r="ELT18" s="2"/>
      <c r="ELU18"/>
      <c r="ELV18" s="5"/>
      <c r="ELW18" s="2"/>
      <c r="ELX18" s="7"/>
      <c r="ELY18"/>
      <c r="ELZ18"/>
      <c r="EMA18" s="10"/>
      <c r="EMB18" s="2"/>
      <c r="EMC18"/>
      <c r="EMD18" s="5"/>
      <c r="EME18" s="2"/>
      <c r="EMF18" s="7"/>
      <c r="EMG18"/>
      <c r="EMH18"/>
      <c r="EMI18" s="10"/>
      <c r="EMJ18" s="2"/>
      <c r="EMK18"/>
      <c r="EML18" s="5"/>
      <c r="EMM18" s="2"/>
      <c r="EMN18" s="7"/>
      <c r="EMO18"/>
      <c r="EMP18"/>
      <c r="EMQ18" s="10"/>
      <c r="EMR18" s="2"/>
      <c r="EMS18"/>
      <c r="EMT18" s="5"/>
      <c r="EMU18" s="2"/>
      <c r="EMV18" s="7"/>
      <c r="EMW18"/>
      <c r="EMX18"/>
      <c r="EMY18" s="10"/>
      <c r="EMZ18" s="2"/>
      <c r="ENA18"/>
      <c r="ENB18" s="5"/>
      <c r="ENC18" s="2"/>
      <c r="END18" s="7"/>
      <c r="ENE18"/>
      <c r="ENF18"/>
      <c r="ENG18" s="10"/>
      <c r="ENH18" s="2"/>
      <c r="ENI18"/>
      <c r="ENJ18" s="5"/>
      <c r="ENK18" s="2"/>
      <c r="ENL18" s="7"/>
      <c r="ENM18"/>
      <c r="ENN18"/>
      <c r="ENO18" s="10"/>
      <c r="ENP18" s="2"/>
      <c r="ENQ18"/>
      <c r="ENR18" s="5"/>
      <c r="ENS18" s="2"/>
      <c r="ENT18" s="7"/>
      <c r="ENU18"/>
      <c r="ENV18"/>
      <c r="ENW18" s="10"/>
      <c r="ENX18" s="2"/>
      <c r="ENY18"/>
      <c r="ENZ18" s="5"/>
      <c r="EOA18" s="2"/>
      <c r="EOB18" s="7"/>
      <c r="EOC18"/>
      <c r="EOD18"/>
      <c r="EOE18" s="10"/>
      <c r="EOF18" s="2"/>
      <c r="EOG18"/>
      <c r="EOH18" s="5"/>
      <c r="EOI18" s="2"/>
      <c r="EOJ18" s="7"/>
      <c r="EOK18"/>
      <c r="EOL18"/>
      <c r="EOM18" s="10"/>
      <c r="EON18" s="2"/>
      <c r="EOO18"/>
      <c r="EOP18" s="5"/>
      <c r="EOQ18" s="2"/>
      <c r="EOR18" s="7"/>
      <c r="EOS18"/>
      <c r="EOT18"/>
      <c r="EOU18" s="10"/>
      <c r="EOV18" s="2"/>
      <c r="EOW18"/>
      <c r="EOX18" s="5"/>
      <c r="EOY18" s="2"/>
      <c r="EOZ18" s="7"/>
      <c r="EPA18"/>
      <c r="EPB18"/>
      <c r="EPC18" s="10"/>
      <c r="EPD18" s="2"/>
      <c r="EPE18"/>
      <c r="EPF18" s="5"/>
      <c r="EPG18" s="2"/>
      <c r="EPH18" s="7"/>
      <c r="EPI18"/>
      <c r="EPJ18"/>
      <c r="EPK18" s="10"/>
      <c r="EPL18" s="2"/>
      <c r="EPM18"/>
      <c r="EPN18" s="5"/>
      <c r="EPO18" s="2"/>
      <c r="EPP18" s="7"/>
      <c r="EPQ18"/>
      <c r="EPR18"/>
      <c r="EPS18" s="10"/>
      <c r="EPT18" s="2"/>
      <c r="EPU18"/>
      <c r="EPV18" s="5"/>
      <c r="EPW18" s="2"/>
      <c r="EPX18" s="7"/>
      <c r="EPY18"/>
      <c r="EPZ18"/>
      <c r="EQA18" s="10"/>
      <c r="EQB18" s="2"/>
      <c r="EQC18"/>
      <c r="EQD18" s="5"/>
      <c r="EQE18" s="2"/>
      <c r="EQF18" s="7"/>
      <c r="EQG18"/>
      <c r="EQH18"/>
      <c r="EQI18" s="10"/>
      <c r="EQJ18" s="2"/>
      <c r="EQK18"/>
      <c r="EQL18" s="5"/>
      <c r="EQM18" s="2"/>
      <c r="EQN18" s="7"/>
      <c r="EQO18"/>
      <c r="EQP18"/>
      <c r="EQQ18" s="10"/>
      <c r="EQR18" s="2"/>
      <c r="EQS18"/>
      <c r="EQT18" s="5"/>
      <c r="EQU18" s="2"/>
      <c r="EQV18" s="7"/>
      <c r="EQW18"/>
      <c r="EQX18"/>
      <c r="EQY18" s="10"/>
      <c r="EQZ18" s="2"/>
      <c r="ERA18"/>
      <c r="ERB18" s="5"/>
      <c r="ERC18" s="2"/>
      <c r="ERD18" s="7"/>
      <c r="ERE18"/>
      <c r="ERF18"/>
      <c r="ERG18" s="10"/>
      <c r="ERH18" s="2"/>
      <c r="ERI18"/>
      <c r="ERJ18" s="5"/>
      <c r="ERK18" s="2"/>
      <c r="ERL18" s="7"/>
      <c r="ERM18"/>
      <c r="ERN18"/>
      <c r="ERO18" s="10"/>
      <c r="ERP18" s="2"/>
      <c r="ERQ18"/>
      <c r="ERR18" s="5"/>
      <c r="ERS18" s="2"/>
      <c r="ERT18" s="7"/>
      <c r="ERU18"/>
      <c r="ERV18"/>
      <c r="ERW18" s="10"/>
      <c r="ERX18" s="2"/>
      <c r="ERY18"/>
      <c r="ERZ18" s="5"/>
      <c r="ESA18" s="2"/>
      <c r="ESB18" s="7"/>
      <c r="ESC18"/>
      <c r="ESD18"/>
      <c r="ESE18" s="10"/>
      <c r="ESF18" s="2"/>
      <c r="ESG18"/>
      <c r="ESH18" s="5"/>
      <c r="ESI18" s="2"/>
      <c r="ESJ18" s="7"/>
      <c r="ESK18"/>
      <c r="ESL18"/>
      <c r="ESM18" s="10"/>
      <c r="ESN18" s="2"/>
      <c r="ESO18"/>
      <c r="ESP18" s="5"/>
      <c r="ESQ18" s="2"/>
      <c r="ESR18" s="7"/>
      <c r="ESS18"/>
      <c r="EST18"/>
      <c r="ESU18" s="10"/>
      <c r="ESV18" s="2"/>
      <c r="ESW18"/>
      <c r="ESX18" s="5"/>
      <c r="ESY18" s="2"/>
      <c r="ESZ18" s="7"/>
      <c r="ETA18"/>
      <c r="ETB18"/>
      <c r="ETC18" s="10"/>
      <c r="ETD18" s="2"/>
      <c r="ETE18"/>
      <c r="ETF18" s="5"/>
      <c r="ETG18" s="2"/>
      <c r="ETH18" s="7"/>
      <c r="ETI18"/>
      <c r="ETJ18"/>
      <c r="ETK18" s="10"/>
      <c r="ETL18" s="2"/>
      <c r="ETM18"/>
      <c r="ETN18" s="5"/>
      <c r="ETO18" s="2"/>
      <c r="ETP18" s="7"/>
      <c r="ETQ18"/>
      <c r="ETR18"/>
      <c r="ETS18" s="10"/>
      <c r="ETT18" s="2"/>
      <c r="ETU18"/>
      <c r="ETV18" s="5"/>
      <c r="ETW18" s="2"/>
      <c r="ETX18" s="7"/>
      <c r="ETY18"/>
      <c r="ETZ18"/>
      <c r="EUA18" s="10"/>
      <c r="EUB18" s="2"/>
      <c r="EUC18"/>
      <c r="EUD18" s="5"/>
      <c r="EUE18" s="2"/>
      <c r="EUF18" s="7"/>
      <c r="EUG18"/>
      <c r="EUH18"/>
      <c r="EUI18" s="10"/>
      <c r="EUJ18" s="2"/>
      <c r="EUK18"/>
      <c r="EUL18" s="5"/>
      <c r="EUM18" s="2"/>
      <c r="EUN18" s="7"/>
      <c r="EUO18"/>
      <c r="EUP18"/>
      <c r="EUQ18" s="10"/>
      <c r="EUR18" s="2"/>
      <c r="EUS18"/>
      <c r="EUT18" s="5"/>
      <c r="EUU18" s="2"/>
      <c r="EUV18" s="7"/>
      <c r="EUW18"/>
      <c r="EUX18"/>
      <c r="EUY18" s="10"/>
      <c r="EUZ18" s="2"/>
      <c r="EVA18"/>
      <c r="EVB18" s="5"/>
      <c r="EVC18" s="2"/>
      <c r="EVD18" s="7"/>
      <c r="EVE18"/>
      <c r="EVF18"/>
      <c r="EVG18" s="10"/>
      <c r="EVH18" s="2"/>
      <c r="EVI18"/>
      <c r="EVJ18" s="5"/>
      <c r="EVK18" s="2"/>
      <c r="EVL18" s="7"/>
      <c r="EVM18"/>
      <c r="EVN18"/>
      <c r="EVO18" s="10"/>
      <c r="EVP18" s="2"/>
      <c r="EVQ18"/>
      <c r="EVR18" s="5"/>
      <c r="EVS18" s="2"/>
      <c r="EVT18" s="7"/>
      <c r="EVU18"/>
      <c r="EVV18"/>
      <c r="EVW18" s="10"/>
      <c r="EVX18" s="2"/>
      <c r="EVY18"/>
      <c r="EVZ18" s="5"/>
      <c r="EWA18" s="2"/>
      <c r="EWB18" s="7"/>
      <c r="EWC18"/>
      <c r="EWD18"/>
      <c r="EWE18" s="10"/>
      <c r="EWF18" s="2"/>
      <c r="EWG18"/>
      <c r="EWH18" s="5"/>
      <c r="EWI18" s="2"/>
      <c r="EWJ18" s="7"/>
      <c r="EWK18"/>
      <c r="EWL18"/>
      <c r="EWM18" s="10"/>
      <c r="EWN18" s="2"/>
      <c r="EWO18"/>
      <c r="EWP18" s="5"/>
      <c r="EWQ18" s="2"/>
      <c r="EWR18" s="7"/>
      <c r="EWS18"/>
      <c r="EWT18"/>
      <c r="EWU18" s="10"/>
      <c r="EWV18" s="2"/>
      <c r="EWW18"/>
      <c r="EWX18" s="5"/>
      <c r="EWY18" s="2"/>
      <c r="EWZ18" s="7"/>
      <c r="EXA18"/>
      <c r="EXB18"/>
      <c r="EXC18" s="10"/>
      <c r="EXD18" s="2"/>
      <c r="EXE18"/>
      <c r="EXF18" s="5"/>
      <c r="EXG18" s="2"/>
      <c r="EXH18" s="7"/>
      <c r="EXI18"/>
      <c r="EXJ18"/>
      <c r="EXK18" s="10"/>
      <c r="EXL18" s="2"/>
      <c r="EXM18"/>
      <c r="EXN18" s="5"/>
      <c r="EXO18" s="2"/>
      <c r="EXP18" s="7"/>
      <c r="EXQ18"/>
      <c r="EXR18"/>
      <c r="EXS18" s="10"/>
      <c r="EXT18" s="2"/>
      <c r="EXU18"/>
      <c r="EXV18" s="5"/>
      <c r="EXW18" s="2"/>
      <c r="EXX18" s="7"/>
      <c r="EXY18"/>
      <c r="EXZ18"/>
      <c r="EYA18" s="10"/>
      <c r="EYB18" s="2"/>
      <c r="EYC18"/>
      <c r="EYD18" s="5"/>
      <c r="EYE18" s="2"/>
      <c r="EYF18" s="7"/>
      <c r="EYG18"/>
      <c r="EYH18"/>
      <c r="EYI18" s="10"/>
      <c r="EYJ18" s="2"/>
      <c r="EYK18"/>
      <c r="EYL18" s="5"/>
      <c r="EYM18" s="2"/>
      <c r="EYN18" s="7"/>
      <c r="EYO18"/>
      <c r="EYP18"/>
      <c r="EYQ18" s="10"/>
      <c r="EYR18" s="2"/>
      <c r="EYS18"/>
      <c r="EYT18" s="5"/>
      <c r="EYU18" s="2"/>
      <c r="EYV18" s="7"/>
      <c r="EYW18"/>
      <c r="EYX18"/>
      <c r="EYY18" s="10"/>
      <c r="EYZ18" s="2"/>
      <c r="EZA18"/>
      <c r="EZB18" s="5"/>
      <c r="EZC18" s="2"/>
      <c r="EZD18" s="7"/>
      <c r="EZE18"/>
      <c r="EZF18"/>
      <c r="EZG18" s="10"/>
      <c r="EZH18" s="2"/>
      <c r="EZI18"/>
      <c r="EZJ18" s="5"/>
      <c r="EZK18" s="2"/>
      <c r="EZL18" s="7"/>
      <c r="EZM18"/>
      <c r="EZN18"/>
      <c r="EZO18" s="10"/>
      <c r="EZP18" s="2"/>
      <c r="EZQ18"/>
      <c r="EZR18" s="5"/>
      <c r="EZS18" s="2"/>
      <c r="EZT18" s="7"/>
      <c r="EZU18"/>
      <c r="EZV18"/>
      <c r="EZW18" s="10"/>
      <c r="EZX18" s="2"/>
      <c r="EZY18"/>
      <c r="EZZ18" s="5"/>
      <c r="FAA18" s="2"/>
      <c r="FAB18" s="7"/>
      <c r="FAC18"/>
      <c r="FAD18"/>
      <c r="FAE18" s="10"/>
      <c r="FAF18" s="2"/>
      <c r="FAG18"/>
      <c r="FAH18" s="5"/>
      <c r="FAI18" s="2"/>
      <c r="FAJ18" s="7"/>
      <c r="FAK18"/>
      <c r="FAL18"/>
      <c r="FAM18" s="10"/>
      <c r="FAN18" s="2"/>
      <c r="FAO18"/>
      <c r="FAP18" s="5"/>
      <c r="FAQ18" s="2"/>
      <c r="FAR18" s="7"/>
      <c r="FAS18"/>
      <c r="FAT18"/>
      <c r="FAU18" s="10"/>
      <c r="FAV18" s="2"/>
      <c r="FAW18"/>
      <c r="FAX18" s="5"/>
      <c r="FAY18" s="2"/>
      <c r="FAZ18" s="7"/>
      <c r="FBA18"/>
      <c r="FBB18"/>
      <c r="FBC18" s="10"/>
      <c r="FBD18" s="2"/>
      <c r="FBE18"/>
      <c r="FBF18" s="5"/>
      <c r="FBG18" s="2"/>
      <c r="FBH18" s="7"/>
      <c r="FBI18"/>
      <c r="FBJ18"/>
      <c r="FBK18" s="10"/>
      <c r="FBL18" s="2"/>
      <c r="FBM18"/>
      <c r="FBN18" s="5"/>
      <c r="FBO18" s="2"/>
      <c r="FBP18" s="7"/>
      <c r="FBQ18"/>
      <c r="FBR18"/>
      <c r="FBS18" s="10"/>
      <c r="FBT18" s="2"/>
      <c r="FBU18"/>
      <c r="FBV18" s="5"/>
      <c r="FBW18" s="2"/>
      <c r="FBX18" s="7"/>
      <c r="FBY18"/>
      <c r="FBZ18"/>
      <c r="FCA18" s="10"/>
      <c r="FCB18" s="2"/>
      <c r="FCC18"/>
      <c r="FCD18" s="5"/>
      <c r="FCE18" s="2"/>
      <c r="FCF18" s="7"/>
      <c r="FCG18"/>
      <c r="FCH18"/>
      <c r="FCI18" s="10"/>
      <c r="FCJ18" s="2"/>
      <c r="FCK18"/>
      <c r="FCL18" s="5"/>
      <c r="FCM18" s="2"/>
      <c r="FCN18" s="7"/>
      <c r="FCO18"/>
      <c r="FCP18"/>
      <c r="FCQ18" s="10"/>
      <c r="FCR18" s="2"/>
      <c r="FCS18"/>
      <c r="FCT18" s="5"/>
      <c r="FCU18" s="2"/>
      <c r="FCV18" s="7"/>
      <c r="FCW18"/>
      <c r="FCX18"/>
      <c r="FCY18" s="10"/>
      <c r="FCZ18" s="2"/>
      <c r="FDA18"/>
      <c r="FDB18" s="5"/>
      <c r="FDC18" s="2"/>
      <c r="FDD18" s="7"/>
      <c r="FDE18"/>
      <c r="FDF18"/>
      <c r="FDG18" s="10"/>
      <c r="FDH18" s="2"/>
      <c r="FDI18"/>
      <c r="FDJ18" s="5"/>
      <c r="FDK18" s="2"/>
      <c r="FDL18" s="7"/>
      <c r="FDM18"/>
      <c r="FDN18"/>
      <c r="FDO18" s="10"/>
      <c r="FDP18" s="2"/>
      <c r="FDQ18"/>
      <c r="FDR18" s="5"/>
      <c r="FDS18" s="2"/>
      <c r="FDT18" s="7"/>
      <c r="FDU18"/>
      <c r="FDV18"/>
      <c r="FDW18" s="10"/>
      <c r="FDX18" s="2"/>
      <c r="FDY18"/>
      <c r="FDZ18" s="5"/>
      <c r="FEA18" s="2"/>
      <c r="FEB18" s="7"/>
      <c r="FEC18"/>
      <c r="FED18"/>
      <c r="FEE18" s="10"/>
      <c r="FEF18" s="2"/>
      <c r="FEG18"/>
      <c r="FEH18" s="5"/>
      <c r="FEI18" s="2"/>
      <c r="FEJ18" s="7"/>
      <c r="FEK18"/>
      <c r="FEL18"/>
      <c r="FEM18" s="10"/>
      <c r="FEN18" s="2"/>
      <c r="FEO18"/>
      <c r="FEP18" s="5"/>
      <c r="FEQ18" s="2"/>
      <c r="FER18" s="7"/>
      <c r="FES18"/>
      <c r="FET18"/>
      <c r="FEU18" s="10"/>
      <c r="FEV18" s="2"/>
      <c r="FEW18"/>
      <c r="FEX18" s="5"/>
      <c r="FEY18" s="2"/>
      <c r="FEZ18" s="7"/>
      <c r="FFA18"/>
      <c r="FFB18"/>
      <c r="FFC18" s="10"/>
      <c r="FFD18" s="2"/>
      <c r="FFE18"/>
      <c r="FFF18" s="5"/>
      <c r="FFG18" s="2"/>
      <c r="FFH18" s="7"/>
      <c r="FFI18"/>
      <c r="FFJ18"/>
      <c r="FFK18" s="10"/>
      <c r="FFL18" s="2"/>
      <c r="FFM18"/>
      <c r="FFN18" s="5"/>
      <c r="FFO18" s="2"/>
      <c r="FFP18" s="7"/>
      <c r="FFQ18"/>
      <c r="FFR18"/>
      <c r="FFS18" s="10"/>
      <c r="FFT18" s="2"/>
      <c r="FFU18"/>
      <c r="FFV18" s="5"/>
      <c r="FFW18" s="2"/>
      <c r="FFX18" s="7"/>
      <c r="FFY18"/>
      <c r="FFZ18"/>
      <c r="FGA18" s="10"/>
      <c r="FGB18" s="2"/>
      <c r="FGC18"/>
      <c r="FGD18" s="5"/>
      <c r="FGE18" s="2"/>
      <c r="FGF18" s="7"/>
      <c r="FGG18"/>
      <c r="FGH18"/>
      <c r="FGI18" s="10"/>
      <c r="FGJ18" s="2"/>
      <c r="FGK18"/>
      <c r="FGL18" s="5"/>
      <c r="FGM18" s="2"/>
      <c r="FGN18" s="7"/>
      <c r="FGO18"/>
      <c r="FGP18"/>
      <c r="FGQ18" s="10"/>
      <c r="FGR18" s="2"/>
      <c r="FGS18"/>
      <c r="FGT18" s="5"/>
      <c r="FGU18" s="2"/>
      <c r="FGV18" s="7"/>
      <c r="FGW18"/>
      <c r="FGX18"/>
      <c r="FGY18" s="10"/>
      <c r="FGZ18" s="2"/>
      <c r="FHA18"/>
      <c r="FHB18" s="5"/>
      <c r="FHC18" s="2"/>
      <c r="FHD18" s="7"/>
      <c r="FHE18"/>
      <c r="FHF18"/>
      <c r="FHG18" s="10"/>
      <c r="FHH18" s="2"/>
      <c r="FHI18"/>
      <c r="FHJ18" s="5"/>
      <c r="FHK18" s="2"/>
      <c r="FHL18" s="7"/>
      <c r="FHM18"/>
      <c r="FHN18"/>
      <c r="FHO18" s="10"/>
      <c r="FHP18" s="2"/>
      <c r="FHQ18"/>
      <c r="FHR18" s="5"/>
      <c r="FHS18" s="2"/>
      <c r="FHT18" s="7"/>
      <c r="FHU18"/>
      <c r="FHV18"/>
      <c r="FHW18" s="10"/>
      <c r="FHX18" s="2"/>
      <c r="FHY18"/>
      <c r="FHZ18" s="5"/>
      <c r="FIA18" s="2"/>
      <c r="FIB18" s="7"/>
      <c r="FIC18"/>
      <c r="FID18"/>
      <c r="FIE18" s="10"/>
      <c r="FIF18" s="2"/>
      <c r="FIG18"/>
      <c r="FIH18" s="5"/>
      <c r="FII18" s="2"/>
      <c r="FIJ18" s="7"/>
      <c r="FIK18"/>
      <c r="FIL18"/>
      <c r="FIM18" s="10"/>
      <c r="FIN18" s="2"/>
      <c r="FIO18"/>
      <c r="FIP18" s="5"/>
      <c r="FIQ18" s="2"/>
      <c r="FIR18" s="7"/>
      <c r="FIS18"/>
      <c r="FIT18"/>
      <c r="FIU18" s="10"/>
      <c r="FIV18" s="2"/>
      <c r="FIW18"/>
      <c r="FIX18" s="5"/>
      <c r="FIY18" s="2"/>
      <c r="FIZ18" s="7"/>
      <c r="FJA18"/>
      <c r="FJB18"/>
      <c r="FJC18" s="10"/>
      <c r="FJD18" s="2"/>
      <c r="FJE18"/>
      <c r="FJF18" s="5"/>
      <c r="FJG18" s="2"/>
      <c r="FJH18" s="7"/>
      <c r="FJI18"/>
      <c r="FJJ18"/>
      <c r="FJK18" s="10"/>
      <c r="FJL18" s="2"/>
      <c r="FJM18"/>
      <c r="FJN18" s="5"/>
      <c r="FJO18" s="2"/>
      <c r="FJP18" s="7"/>
      <c r="FJQ18"/>
      <c r="FJR18"/>
      <c r="FJS18" s="10"/>
      <c r="FJT18" s="2"/>
      <c r="FJU18"/>
      <c r="FJV18" s="5"/>
      <c r="FJW18" s="2"/>
      <c r="FJX18" s="7"/>
      <c r="FJY18"/>
      <c r="FJZ18"/>
      <c r="FKA18" s="10"/>
      <c r="FKB18" s="2"/>
      <c r="FKC18"/>
      <c r="FKD18" s="5"/>
      <c r="FKE18" s="2"/>
      <c r="FKF18" s="7"/>
      <c r="FKG18"/>
      <c r="FKH18"/>
      <c r="FKI18" s="10"/>
      <c r="FKJ18" s="2"/>
      <c r="FKK18"/>
      <c r="FKL18" s="5"/>
      <c r="FKM18" s="2"/>
      <c r="FKN18" s="7"/>
      <c r="FKO18"/>
      <c r="FKP18"/>
      <c r="FKQ18" s="10"/>
      <c r="FKR18" s="2"/>
      <c r="FKS18"/>
      <c r="FKT18" s="5"/>
      <c r="FKU18" s="2"/>
      <c r="FKV18" s="7"/>
      <c r="FKW18"/>
      <c r="FKX18"/>
      <c r="FKY18" s="10"/>
      <c r="FKZ18" s="2"/>
      <c r="FLA18"/>
      <c r="FLB18" s="5"/>
      <c r="FLC18" s="2"/>
      <c r="FLD18" s="7"/>
      <c r="FLE18"/>
      <c r="FLF18"/>
      <c r="FLG18" s="10"/>
      <c r="FLH18" s="2"/>
      <c r="FLI18"/>
      <c r="FLJ18" s="5"/>
      <c r="FLK18" s="2"/>
      <c r="FLL18" s="7"/>
      <c r="FLM18"/>
      <c r="FLN18"/>
      <c r="FLO18" s="10"/>
      <c r="FLP18" s="2"/>
      <c r="FLQ18"/>
      <c r="FLR18" s="5"/>
      <c r="FLS18" s="2"/>
      <c r="FLT18" s="7"/>
      <c r="FLU18"/>
      <c r="FLV18"/>
      <c r="FLW18" s="10"/>
      <c r="FLX18" s="2"/>
      <c r="FLY18"/>
      <c r="FLZ18" s="5"/>
      <c r="FMA18" s="2"/>
      <c r="FMB18" s="7"/>
      <c r="FMC18"/>
      <c r="FMD18"/>
      <c r="FME18" s="10"/>
      <c r="FMF18" s="2"/>
      <c r="FMG18"/>
      <c r="FMH18" s="5"/>
      <c r="FMI18" s="2"/>
      <c r="FMJ18" s="7"/>
      <c r="FMK18"/>
      <c r="FML18"/>
      <c r="FMM18" s="10"/>
      <c r="FMN18" s="2"/>
      <c r="FMO18"/>
      <c r="FMP18" s="5"/>
      <c r="FMQ18" s="2"/>
      <c r="FMR18" s="7"/>
      <c r="FMS18"/>
      <c r="FMT18"/>
      <c r="FMU18" s="10"/>
      <c r="FMV18" s="2"/>
      <c r="FMW18"/>
      <c r="FMX18" s="5"/>
      <c r="FMY18" s="2"/>
      <c r="FMZ18" s="7"/>
      <c r="FNA18"/>
      <c r="FNB18"/>
      <c r="FNC18" s="10"/>
      <c r="FND18" s="2"/>
      <c r="FNE18"/>
      <c r="FNF18" s="5"/>
      <c r="FNG18" s="2"/>
      <c r="FNH18" s="7"/>
      <c r="FNI18"/>
      <c r="FNJ18"/>
      <c r="FNK18" s="10"/>
      <c r="FNL18" s="2"/>
      <c r="FNM18"/>
      <c r="FNN18" s="5"/>
      <c r="FNO18" s="2"/>
      <c r="FNP18" s="7"/>
      <c r="FNQ18"/>
      <c r="FNR18"/>
      <c r="FNS18" s="10"/>
      <c r="FNT18" s="2"/>
      <c r="FNU18"/>
      <c r="FNV18" s="5"/>
      <c r="FNW18" s="2"/>
      <c r="FNX18" s="7"/>
      <c r="FNY18"/>
      <c r="FNZ18"/>
      <c r="FOA18" s="10"/>
      <c r="FOB18" s="2"/>
      <c r="FOC18"/>
      <c r="FOD18" s="5"/>
      <c r="FOE18" s="2"/>
      <c r="FOF18" s="7"/>
      <c r="FOG18"/>
      <c r="FOH18"/>
      <c r="FOI18" s="10"/>
      <c r="FOJ18" s="2"/>
      <c r="FOK18"/>
      <c r="FOL18" s="5"/>
      <c r="FOM18" s="2"/>
      <c r="FON18" s="7"/>
      <c r="FOO18"/>
      <c r="FOP18"/>
      <c r="FOQ18" s="10"/>
      <c r="FOR18" s="2"/>
      <c r="FOS18"/>
      <c r="FOT18" s="5"/>
      <c r="FOU18" s="2"/>
      <c r="FOV18" s="7"/>
      <c r="FOW18"/>
      <c r="FOX18"/>
      <c r="FOY18" s="10"/>
      <c r="FOZ18" s="2"/>
      <c r="FPA18"/>
      <c r="FPB18" s="5"/>
      <c r="FPC18" s="2"/>
      <c r="FPD18" s="7"/>
      <c r="FPE18"/>
      <c r="FPF18"/>
      <c r="FPG18" s="10"/>
      <c r="FPH18" s="2"/>
      <c r="FPI18"/>
      <c r="FPJ18" s="5"/>
      <c r="FPK18" s="2"/>
      <c r="FPL18" s="7"/>
      <c r="FPM18"/>
      <c r="FPN18"/>
      <c r="FPO18" s="10"/>
      <c r="FPP18" s="2"/>
      <c r="FPQ18"/>
      <c r="FPR18" s="5"/>
      <c r="FPS18" s="2"/>
      <c r="FPT18" s="7"/>
      <c r="FPU18"/>
      <c r="FPV18"/>
      <c r="FPW18" s="10"/>
      <c r="FPX18" s="2"/>
      <c r="FPY18"/>
      <c r="FPZ18" s="5"/>
      <c r="FQA18" s="2"/>
      <c r="FQB18" s="7"/>
      <c r="FQC18"/>
      <c r="FQD18"/>
      <c r="FQE18" s="10"/>
      <c r="FQF18" s="2"/>
      <c r="FQG18"/>
      <c r="FQH18" s="5"/>
      <c r="FQI18" s="2"/>
      <c r="FQJ18" s="7"/>
      <c r="FQK18"/>
      <c r="FQL18"/>
      <c r="FQM18" s="10"/>
      <c r="FQN18" s="2"/>
      <c r="FQO18"/>
      <c r="FQP18" s="5"/>
      <c r="FQQ18" s="2"/>
      <c r="FQR18" s="7"/>
      <c r="FQS18"/>
      <c r="FQT18"/>
      <c r="FQU18" s="10"/>
      <c r="FQV18" s="2"/>
      <c r="FQW18"/>
      <c r="FQX18" s="5"/>
      <c r="FQY18" s="2"/>
      <c r="FQZ18" s="7"/>
      <c r="FRA18"/>
      <c r="FRB18"/>
      <c r="FRC18" s="10"/>
      <c r="FRD18" s="2"/>
      <c r="FRE18"/>
      <c r="FRF18" s="5"/>
      <c r="FRG18" s="2"/>
      <c r="FRH18" s="7"/>
      <c r="FRI18"/>
      <c r="FRJ18"/>
      <c r="FRK18" s="10"/>
      <c r="FRL18" s="2"/>
      <c r="FRM18"/>
      <c r="FRN18" s="5"/>
      <c r="FRO18" s="2"/>
      <c r="FRP18" s="7"/>
      <c r="FRQ18"/>
      <c r="FRR18"/>
      <c r="FRS18" s="10"/>
      <c r="FRT18" s="2"/>
      <c r="FRU18"/>
      <c r="FRV18" s="5"/>
      <c r="FRW18" s="2"/>
      <c r="FRX18" s="7"/>
      <c r="FRY18"/>
      <c r="FRZ18"/>
      <c r="FSA18" s="10"/>
      <c r="FSB18" s="2"/>
      <c r="FSC18"/>
      <c r="FSD18" s="5"/>
      <c r="FSE18" s="2"/>
      <c r="FSF18" s="7"/>
      <c r="FSG18"/>
      <c r="FSH18"/>
      <c r="FSI18" s="10"/>
      <c r="FSJ18" s="2"/>
      <c r="FSK18"/>
      <c r="FSL18" s="5"/>
      <c r="FSM18" s="2"/>
      <c r="FSN18" s="7"/>
      <c r="FSO18"/>
      <c r="FSP18"/>
      <c r="FSQ18" s="10"/>
      <c r="FSR18" s="2"/>
      <c r="FSS18"/>
      <c r="FST18" s="5"/>
      <c r="FSU18" s="2"/>
      <c r="FSV18" s="7"/>
      <c r="FSW18"/>
      <c r="FSX18"/>
      <c r="FSY18" s="10"/>
      <c r="FSZ18" s="2"/>
      <c r="FTA18"/>
      <c r="FTB18" s="5"/>
      <c r="FTC18" s="2"/>
      <c r="FTD18" s="7"/>
      <c r="FTE18"/>
      <c r="FTF18"/>
      <c r="FTG18" s="10"/>
      <c r="FTH18" s="2"/>
      <c r="FTI18"/>
      <c r="FTJ18" s="5"/>
      <c r="FTK18" s="2"/>
      <c r="FTL18" s="7"/>
      <c r="FTM18"/>
      <c r="FTN18"/>
      <c r="FTO18" s="10"/>
      <c r="FTP18" s="2"/>
      <c r="FTQ18"/>
      <c r="FTR18" s="5"/>
      <c r="FTS18" s="2"/>
      <c r="FTT18" s="7"/>
      <c r="FTU18"/>
      <c r="FTV18"/>
      <c r="FTW18" s="10"/>
      <c r="FTX18" s="2"/>
      <c r="FTY18"/>
      <c r="FTZ18" s="5"/>
      <c r="FUA18" s="2"/>
      <c r="FUB18" s="7"/>
      <c r="FUC18"/>
      <c r="FUD18"/>
      <c r="FUE18" s="10"/>
      <c r="FUF18" s="2"/>
      <c r="FUG18"/>
      <c r="FUH18" s="5"/>
      <c r="FUI18" s="2"/>
      <c r="FUJ18" s="7"/>
      <c r="FUK18"/>
      <c r="FUL18"/>
      <c r="FUM18" s="10"/>
      <c r="FUN18" s="2"/>
      <c r="FUO18"/>
      <c r="FUP18" s="5"/>
      <c r="FUQ18" s="2"/>
      <c r="FUR18" s="7"/>
      <c r="FUS18"/>
      <c r="FUT18"/>
      <c r="FUU18" s="10"/>
      <c r="FUV18" s="2"/>
      <c r="FUW18"/>
      <c r="FUX18" s="5"/>
      <c r="FUY18" s="2"/>
      <c r="FUZ18" s="7"/>
      <c r="FVA18"/>
      <c r="FVB18"/>
      <c r="FVC18" s="10"/>
      <c r="FVD18" s="2"/>
      <c r="FVE18"/>
      <c r="FVF18" s="5"/>
      <c r="FVG18" s="2"/>
      <c r="FVH18" s="7"/>
      <c r="FVI18"/>
      <c r="FVJ18"/>
      <c r="FVK18" s="10"/>
      <c r="FVL18" s="2"/>
      <c r="FVM18"/>
      <c r="FVN18" s="5"/>
      <c r="FVO18" s="2"/>
      <c r="FVP18" s="7"/>
      <c r="FVQ18"/>
      <c r="FVR18"/>
      <c r="FVS18" s="10"/>
      <c r="FVT18" s="2"/>
      <c r="FVU18"/>
      <c r="FVV18" s="5"/>
      <c r="FVW18" s="2"/>
      <c r="FVX18" s="7"/>
      <c r="FVY18"/>
      <c r="FVZ18"/>
      <c r="FWA18" s="10"/>
      <c r="FWB18" s="2"/>
      <c r="FWC18"/>
      <c r="FWD18" s="5"/>
      <c r="FWE18" s="2"/>
      <c r="FWF18" s="7"/>
      <c r="FWG18"/>
      <c r="FWH18"/>
      <c r="FWI18" s="10"/>
      <c r="FWJ18" s="2"/>
      <c r="FWK18"/>
      <c r="FWL18" s="5"/>
      <c r="FWM18" s="2"/>
      <c r="FWN18" s="7"/>
      <c r="FWO18"/>
      <c r="FWP18"/>
      <c r="FWQ18" s="10"/>
      <c r="FWR18" s="2"/>
      <c r="FWS18"/>
      <c r="FWT18" s="5"/>
      <c r="FWU18" s="2"/>
      <c r="FWV18" s="7"/>
      <c r="FWW18"/>
      <c r="FWX18"/>
      <c r="FWY18" s="10"/>
      <c r="FWZ18" s="2"/>
      <c r="FXA18"/>
      <c r="FXB18" s="5"/>
      <c r="FXC18" s="2"/>
      <c r="FXD18" s="7"/>
      <c r="FXE18"/>
      <c r="FXF18"/>
      <c r="FXG18" s="10"/>
      <c r="FXH18" s="2"/>
      <c r="FXI18"/>
      <c r="FXJ18" s="5"/>
      <c r="FXK18" s="2"/>
      <c r="FXL18" s="7"/>
      <c r="FXM18"/>
      <c r="FXN18"/>
      <c r="FXO18" s="10"/>
      <c r="FXP18" s="2"/>
      <c r="FXQ18"/>
      <c r="FXR18" s="5"/>
      <c r="FXS18" s="2"/>
      <c r="FXT18" s="7"/>
      <c r="FXU18"/>
      <c r="FXV18"/>
      <c r="FXW18" s="10"/>
      <c r="FXX18" s="2"/>
      <c r="FXY18"/>
      <c r="FXZ18" s="5"/>
      <c r="FYA18" s="2"/>
      <c r="FYB18" s="7"/>
      <c r="FYC18"/>
      <c r="FYD18"/>
      <c r="FYE18" s="10"/>
      <c r="FYF18" s="2"/>
      <c r="FYG18"/>
      <c r="FYH18" s="5"/>
      <c r="FYI18" s="2"/>
      <c r="FYJ18" s="7"/>
      <c r="FYK18"/>
      <c r="FYL18"/>
      <c r="FYM18" s="10"/>
      <c r="FYN18" s="2"/>
      <c r="FYO18"/>
      <c r="FYP18" s="5"/>
      <c r="FYQ18" s="2"/>
      <c r="FYR18" s="7"/>
      <c r="FYS18"/>
      <c r="FYT18"/>
      <c r="FYU18" s="10"/>
      <c r="FYV18" s="2"/>
      <c r="FYW18"/>
      <c r="FYX18" s="5"/>
      <c r="FYY18" s="2"/>
      <c r="FYZ18" s="7"/>
      <c r="FZA18"/>
      <c r="FZB18"/>
      <c r="FZC18" s="10"/>
      <c r="FZD18" s="2"/>
      <c r="FZE18"/>
      <c r="FZF18" s="5"/>
      <c r="FZG18" s="2"/>
      <c r="FZH18" s="7"/>
      <c r="FZI18"/>
      <c r="FZJ18"/>
      <c r="FZK18" s="10"/>
      <c r="FZL18" s="2"/>
      <c r="FZM18"/>
      <c r="FZN18" s="5"/>
      <c r="FZO18" s="2"/>
      <c r="FZP18" s="7"/>
      <c r="FZQ18"/>
      <c r="FZR18"/>
      <c r="FZS18" s="10"/>
      <c r="FZT18" s="2"/>
      <c r="FZU18"/>
      <c r="FZV18" s="5"/>
      <c r="FZW18" s="2"/>
      <c r="FZX18" s="7"/>
      <c r="FZY18"/>
      <c r="FZZ18"/>
      <c r="GAA18" s="10"/>
      <c r="GAB18" s="2"/>
      <c r="GAC18"/>
      <c r="GAD18" s="5"/>
      <c r="GAE18" s="2"/>
      <c r="GAF18" s="7"/>
      <c r="GAG18"/>
      <c r="GAH18"/>
      <c r="GAI18" s="10"/>
      <c r="GAJ18" s="2"/>
      <c r="GAK18"/>
      <c r="GAL18" s="5"/>
      <c r="GAM18" s="2"/>
      <c r="GAN18" s="7"/>
      <c r="GAO18"/>
      <c r="GAP18"/>
      <c r="GAQ18" s="10"/>
      <c r="GAR18" s="2"/>
      <c r="GAS18"/>
      <c r="GAT18" s="5"/>
      <c r="GAU18" s="2"/>
      <c r="GAV18" s="7"/>
      <c r="GAW18"/>
      <c r="GAX18"/>
      <c r="GAY18" s="10"/>
      <c r="GAZ18" s="2"/>
      <c r="GBA18"/>
      <c r="GBB18" s="5"/>
      <c r="GBC18" s="2"/>
      <c r="GBD18" s="7"/>
      <c r="GBE18"/>
      <c r="GBF18"/>
      <c r="GBG18" s="10"/>
      <c r="GBH18" s="2"/>
      <c r="GBI18"/>
      <c r="GBJ18" s="5"/>
      <c r="GBK18" s="2"/>
      <c r="GBL18" s="7"/>
      <c r="GBM18"/>
      <c r="GBN18"/>
      <c r="GBO18" s="10"/>
      <c r="GBP18" s="2"/>
      <c r="GBQ18"/>
      <c r="GBR18" s="5"/>
      <c r="GBS18" s="2"/>
      <c r="GBT18" s="7"/>
      <c r="GBU18"/>
      <c r="GBV18"/>
      <c r="GBW18" s="10"/>
      <c r="GBX18" s="2"/>
      <c r="GBY18"/>
      <c r="GBZ18" s="5"/>
      <c r="GCA18" s="2"/>
      <c r="GCB18" s="7"/>
      <c r="GCC18"/>
      <c r="GCD18"/>
      <c r="GCE18" s="10"/>
      <c r="GCF18" s="2"/>
      <c r="GCG18"/>
      <c r="GCH18" s="5"/>
      <c r="GCI18" s="2"/>
      <c r="GCJ18" s="7"/>
      <c r="GCK18"/>
      <c r="GCL18"/>
      <c r="GCM18" s="10"/>
      <c r="GCN18" s="2"/>
      <c r="GCO18"/>
      <c r="GCP18" s="5"/>
      <c r="GCQ18" s="2"/>
      <c r="GCR18" s="7"/>
      <c r="GCS18"/>
      <c r="GCT18"/>
      <c r="GCU18" s="10"/>
      <c r="GCV18" s="2"/>
      <c r="GCW18"/>
      <c r="GCX18" s="5"/>
      <c r="GCY18" s="2"/>
      <c r="GCZ18" s="7"/>
      <c r="GDA18"/>
      <c r="GDB18"/>
      <c r="GDC18" s="10"/>
      <c r="GDD18" s="2"/>
      <c r="GDE18"/>
      <c r="GDF18" s="5"/>
      <c r="GDG18" s="2"/>
      <c r="GDH18" s="7"/>
      <c r="GDI18"/>
      <c r="GDJ18"/>
      <c r="GDK18" s="10"/>
      <c r="GDL18" s="2"/>
      <c r="GDM18"/>
      <c r="GDN18" s="5"/>
      <c r="GDO18" s="2"/>
      <c r="GDP18" s="7"/>
      <c r="GDQ18"/>
      <c r="GDR18"/>
      <c r="GDS18" s="10"/>
      <c r="GDT18" s="2"/>
      <c r="GDU18"/>
      <c r="GDV18" s="5"/>
      <c r="GDW18" s="2"/>
      <c r="GDX18" s="7"/>
      <c r="GDY18"/>
      <c r="GDZ18"/>
      <c r="GEA18" s="10"/>
      <c r="GEB18" s="2"/>
      <c r="GEC18"/>
      <c r="GED18" s="5"/>
      <c r="GEE18" s="2"/>
      <c r="GEF18" s="7"/>
      <c r="GEG18"/>
      <c r="GEH18"/>
      <c r="GEI18" s="10"/>
      <c r="GEJ18" s="2"/>
      <c r="GEK18"/>
      <c r="GEL18" s="5"/>
      <c r="GEM18" s="2"/>
      <c r="GEN18" s="7"/>
      <c r="GEO18"/>
      <c r="GEP18"/>
      <c r="GEQ18" s="10"/>
      <c r="GER18" s="2"/>
      <c r="GES18"/>
      <c r="GET18" s="5"/>
      <c r="GEU18" s="2"/>
      <c r="GEV18" s="7"/>
      <c r="GEW18"/>
      <c r="GEX18"/>
      <c r="GEY18" s="10"/>
      <c r="GEZ18" s="2"/>
      <c r="GFA18"/>
      <c r="GFB18" s="5"/>
      <c r="GFC18" s="2"/>
      <c r="GFD18" s="7"/>
      <c r="GFE18"/>
      <c r="GFF18"/>
      <c r="GFG18" s="10"/>
      <c r="GFH18" s="2"/>
      <c r="GFI18"/>
      <c r="GFJ18" s="5"/>
      <c r="GFK18" s="2"/>
      <c r="GFL18" s="7"/>
      <c r="GFM18"/>
      <c r="GFN18"/>
      <c r="GFO18" s="10"/>
      <c r="GFP18" s="2"/>
      <c r="GFQ18"/>
      <c r="GFR18" s="5"/>
      <c r="GFS18" s="2"/>
      <c r="GFT18" s="7"/>
      <c r="GFU18"/>
      <c r="GFV18"/>
      <c r="GFW18" s="10"/>
      <c r="GFX18" s="2"/>
      <c r="GFY18"/>
      <c r="GFZ18" s="5"/>
      <c r="GGA18" s="2"/>
      <c r="GGB18" s="7"/>
      <c r="GGC18"/>
      <c r="GGD18"/>
      <c r="GGE18" s="10"/>
      <c r="GGF18" s="2"/>
      <c r="GGG18"/>
      <c r="GGH18" s="5"/>
      <c r="GGI18" s="2"/>
      <c r="GGJ18" s="7"/>
      <c r="GGK18"/>
      <c r="GGL18"/>
      <c r="GGM18" s="10"/>
      <c r="GGN18" s="2"/>
      <c r="GGO18"/>
      <c r="GGP18" s="5"/>
      <c r="GGQ18" s="2"/>
      <c r="GGR18" s="7"/>
      <c r="GGS18"/>
      <c r="GGT18"/>
      <c r="GGU18" s="10"/>
      <c r="GGV18" s="2"/>
      <c r="GGW18"/>
      <c r="GGX18" s="5"/>
      <c r="GGY18" s="2"/>
      <c r="GGZ18" s="7"/>
      <c r="GHA18"/>
      <c r="GHB18"/>
      <c r="GHC18" s="10"/>
      <c r="GHD18" s="2"/>
      <c r="GHE18"/>
      <c r="GHF18" s="5"/>
      <c r="GHG18" s="2"/>
      <c r="GHH18" s="7"/>
      <c r="GHI18"/>
      <c r="GHJ18"/>
      <c r="GHK18" s="10"/>
      <c r="GHL18" s="2"/>
      <c r="GHM18"/>
      <c r="GHN18" s="5"/>
      <c r="GHO18" s="2"/>
      <c r="GHP18" s="7"/>
      <c r="GHQ18"/>
      <c r="GHR18"/>
      <c r="GHS18" s="10"/>
      <c r="GHT18" s="2"/>
      <c r="GHU18"/>
      <c r="GHV18" s="5"/>
      <c r="GHW18" s="2"/>
      <c r="GHX18" s="7"/>
      <c r="GHY18"/>
      <c r="GHZ18"/>
      <c r="GIA18" s="10"/>
      <c r="GIB18" s="2"/>
      <c r="GIC18"/>
      <c r="GID18" s="5"/>
      <c r="GIE18" s="2"/>
      <c r="GIF18" s="7"/>
      <c r="GIG18"/>
      <c r="GIH18"/>
      <c r="GII18" s="10"/>
      <c r="GIJ18" s="2"/>
      <c r="GIK18"/>
      <c r="GIL18" s="5"/>
      <c r="GIM18" s="2"/>
      <c r="GIN18" s="7"/>
      <c r="GIO18"/>
      <c r="GIP18"/>
      <c r="GIQ18" s="10"/>
      <c r="GIR18" s="2"/>
      <c r="GIS18"/>
      <c r="GIT18" s="5"/>
      <c r="GIU18" s="2"/>
      <c r="GIV18" s="7"/>
      <c r="GIW18"/>
      <c r="GIX18"/>
      <c r="GIY18" s="10"/>
      <c r="GIZ18" s="2"/>
      <c r="GJA18"/>
      <c r="GJB18" s="5"/>
      <c r="GJC18" s="2"/>
      <c r="GJD18" s="7"/>
      <c r="GJE18"/>
      <c r="GJF18"/>
      <c r="GJG18" s="10"/>
      <c r="GJH18" s="2"/>
      <c r="GJI18"/>
      <c r="GJJ18" s="5"/>
      <c r="GJK18" s="2"/>
      <c r="GJL18" s="7"/>
      <c r="GJM18"/>
      <c r="GJN18"/>
      <c r="GJO18" s="10"/>
      <c r="GJP18" s="2"/>
      <c r="GJQ18"/>
      <c r="GJR18" s="5"/>
      <c r="GJS18" s="2"/>
      <c r="GJT18" s="7"/>
      <c r="GJU18"/>
      <c r="GJV18"/>
      <c r="GJW18" s="10"/>
      <c r="GJX18" s="2"/>
      <c r="GJY18"/>
      <c r="GJZ18" s="5"/>
      <c r="GKA18" s="2"/>
      <c r="GKB18" s="7"/>
      <c r="GKC18"/>
      <c r="GKD18"/>
      <c r="GKE18" s="10"/>
      <c r="GKF18" s="2"/>
      <c r="GKG18"/>
      <c r="GKH18" s="5"/>
      <c r="GKI18" s="2"/>
      <c r="GKJ18" s="7"/>
      <c r="GKK18"/>
      <c r="GKL18"/>
      <c r="GKM18" s="10"/>
      <c r="GKN18" s="2"/>
      <c r="GKO18"/>
      <c r="GKP18" s="5"/>
      <c r="GKQ18" s="2"/>
      <c r="GKR18" s="7"/>
      <c r="GKS18"/>
      <c r="GKT18"/>
      <c r="GKU18" s="10"/>
      <c r="GKV18" s="2"/>
      <c r="GKW18"/>
      <c r="GKX18" s="5"/>
      <c r="GKY18" s="2"/>
      <c r="GKZ18" s="7"/>
      <c r="GLA18"/>
      <c r="GLB18"/>
      <c r="GLC18" s="10"/>
      <c r="GLD18" s="2"/>
      <c r="GLE18"/>
      <c r="GLF18" s="5"/>
      <c r="GLG18" s="2"/>
      <c r="GLH18" s="7"/>
      <c r="GLI18"/>
      <c r="GLJ18"/>
      <c r="GLK18" s="10"/>
      <c r="GLL18" s="2"/>
      <c r="GLM18"/>
      <c r="GLN18" s="5"/>
      <c r="GLO18" s="2"/>
      <c r="GLP18" s="7"/>
      <c r="GLQ18"/>
      <c r="GLR18"/>
      <c r="GLS18" s="10"/>
      <c r="GLT18" s="2"/>
      <c r="GLU18"/>
      <c r="GLV18" s="5"/>
      <c r="GLW18" s="2"/>
      <c r="GLX18" s="7"/>
      <c r="GLY18"/>
      <c r="GLZ18"/>
      <c r="GMA18" s="10"/>
      <c r="GMB18" s="2"/>
      <c r="GMC18"/>
      <c r="GMD18" s="5"/>
      <c r="GME18" s="2"/>
      <c r="GMF18" s="7"/>
      <c r="GMG18"/>
      <c r="GMH18"/>
      <c r="GMI18" s="10"/>
      <c r="GMJ18" s="2"/>
      <c r="GMK18"/>
      <c r="GML18" s="5"/>
      <c r="GMM18" s="2"/>
      <c r="GMN18" s="7"/>
      <c r="GMO18"/>
      <c r="GMP18"/>
      <c r="GMQ18" s="10"/>
      <c r="GMR18" s="2"/>
      <c r="GMS18"/>
      <c r="GMT18" s="5"/>
      <c r="GMU18" s="2"/>
      <c r="GMV18" s="7"/>
      <c r="GMW18"/>
      <c r="GMX18"/>
      <c r="GMY18" s="10"/>
      <c r="GMZ18" s="2"/>
      <c r="GNA18"/>
      <c r="GNB18" s="5"/>
      <c r="GNC18" s="2"/>
      <c r="GND18" s="7"/>
      <c r="GNE18"/>
      <c r="GNF18"/>
      <c r="GNG18" s="10"/>
      <c r="GNH18" s="2"/>
      <c r="GNI18"/>
      <c r="GNJ18" s="5"/>
      <c r="GNK18" s="2"/>
      <c r="GNL18" s="7"/>
      <c r="GNM18"/>
      <c r="GNN18"/>
      <c r="GNO18" s="10"/>
      <c r="GNP18" s="2"/>
      <c r="GNQ18"/>
      <c r="GNR18" s="5"/>
      <c r="GNS18" s="2"/>
      <c r="GNT18" s="7"/>
      <c r="GNU18"/>
      <c r="GNV18"/>
      <c r="GNW18" s="10"/>
      <c r="GNX18" s="2"/>
      <c r="GNY18"/>
      <c r="GNZ18" s="5"/>
      <c r="GOA18" s="2"/>
      <c r="GOB18" s="7"/>
      <c r="GOC18"/>
      <c r="GOD18"/>
      <c r="GOE18" s="10"/>
      <c r="GOF18" s="2"/>
      <c r="GOG18"/>
      <c r="GOH18" s="5"/>
      <c r="GOI18" s="2"/>
      <c r="GOJ18" s="7"/>
      <c r="GOK18"/>
      <c r="GOL18"/>
      <c r="GOM18" s="10"/>
      <c r="GON18" s="2"/>
      <c r="GOO18"/>
      <c r="GOP18" s="5"/>
      <c r="GOQ18" s="2"/>
      <c r="GOR18" s="7"/>
      <c r="GOS18"/>
      <c r="GOT18"/>
      <c r="GOU18" s="10"/>
      <c r="GOV18" s="2"/>
      <c r="GOW18"/>
      <c r="GOX18" s="5"/>
      <c r="GOY18" s="2"/>
      <c r="GOZ18" s="7"/>
      <c r="GPA18"/>
      <c r="GPB18"/>
      <c r="GPC18" s="10"/>
      <c r="GPD18" s="2"/>
      <c r="GPE18"/>
      <c r="GPF18" s="5"/>
      <c r="GPG18" s="2"/>
      <c r="GPH18" s="7"/>
      <c r="GPI18"/>
      <c r="GPJ18"/>
      <c r="GPK18" s="10"/>
      <c r="GPL18" s="2"/>
      <c r="GPM18"/>
      <c r="GPN18" s="5"/>
      <c r="GPO18" s="2"/>
      <c r="GPP18" s="7"/>
      <c r="GPQ18"/>
      <c r="GPR18"/>
      <c r="GPS18" s="10"/>
      <c r="GPT18" s="2"/>
      <c r="GPU18"/>
      <c r="GPV18" s="5"/>
      <c r="GPW18" s="2"/>
      <c r="GPX18" s="7"/>
      <c r="GPY18"/>
      <c r="GPZ18"/>
      <c r="GQA18" s="10"/>
      <c r="GQB18" s="2"/>
      <c r="GQC18"/>
      <c r="GQD18" s="5"/>
      <c r="GQE18" s="2"/>
      <c r="GQF18" s="7"/>
      <c r="GQG18"/>
      <c r="GQH18"/>
      <c r="GQI18" s="10"/>
      <c r="GQJ18" s="2"/>
      <c r="GQK18"/>
      <c r="GQL18" s="5"/>
      <c r="GQM18" s="2"/>
      <c r="GQN18" s="7"/>
      <c r="GQO18"/>
      <c r="GQP18"/>
      <c r="GQQ18" s="10"/>
      <c r="GQR18" s="2"/>
      <c r="GQS18"/>
      <c r="GQT18" s="5"/>
      <c r="GQU18" s="2"/>
      <c r="GQV18" s="7"/>
      <c r="GQW18"/>
      <c r="GQX18"/>
      <c r="GQY18" s="10"/>
      <c r="GQZ18" s="2"/>
      <c r="GRA18"/>
      <c r="GRB18" s="5"/>
      <c r="GRC18" s="2"/>
      <c r="GRD18" s="7"/>
      <c r="GRE18"/>
      <c r="GRF18"/>
      <c r="GRG18" s="10"/>
      <c r="GRH18" s="2"/>
      <c r="GRI18"/>
      <c r="GRJ18" s="5"/>
      <c r="GRK18" s="2"/>
      <c r="GRL18" s="7"/>
      <c r="GRM18"/>
      <c r="GRN18"/>
      <c r="GRO18" s="10"/>
      <c r="GRP18" s="2"/>
      <c r="GRQ18"/>
      <c r="GRR18" s="5"/>
      <c r="GRS18" s="2"/>
      <c r="GRT18" s="7"/>
      <c r="GRU18"/>
      <c r="GRV18"/>
      <c r="GRW18" s="10"/>
      <c r="GRX18" s="2"/>
      <c r="GRY18"/>
      <c r="GRZ18" s="5"/>
      <c r="GSA18" s="2"/>
      <c r="GSB18" s="7"/>
      <c r="GSC18"/>
      <c r="GSD18"/>
      <c r="GSE18" s="10"/>
      <c r="GSF18" s="2"/>
      <c r="GSG18"/>
      <c r="GSH18" s="5"/>
      <c r="GSI18" s="2"/>
      <c r="GSJ18" s="7"/>
      <c r="GSK18"/>
      <c r="GSL18"/>
      <c r="GSM18" s="10"/>
      <c r="GSN18" s="2"/>
      <c r="GSO18"/>
      <c r="GSP18" s="5"/>
      <c r="GSQ18" s="2"/>
      <c r="GSR18" s="7"/>
      <c r="GSS18"/>
      <c r="GST18"/>
      <c r="GSU18" s="10"/>
      <c r="GSV18" s="2"/>
      <c r="GSW18"/>
      <c r="GSX18" s="5"/>
      <c r="GSY18" s="2"/>
      <c r="GSZ18" s="7"/>
      <c r="GTA18"/>
      <c r="GTB18"/>
      <c r="GTC18" s="10"/>
      <c r="GTD18" s="2"/>
      <c r="GTE18"/>
      <c r="GTF18" s="5"/>
      <c r="GTG18" s="2"/>
      <c r="GTH18" s="7"/>
      <c r="GTI18"/>
      <c r="GTJ18"/>
      <c r="GTK18" s="10"/>
      <c r="GTL18" s="2"/>
      <c r="GTM18"/>
      <c r="GTN18" s="5"/>
      <c r="GTO18" s="2"/>
      <c r="GTP18" s="7"/>
      <c r="GTQ18"/>
      <c r="GTR18"/>
      <c r="GTS18" s="10"/>
      <c r="GTT18" s="2"/>
      <c r="GTU18"/>
      <c r="GTV18" s="5"/>
      <c r="GTW18" s="2"/>
      <c r="GTX18" s="7"/>
      <c r="GTY18"/>
      <c r="GTZ18"/>
      <c r="GUA18" s="10"/>
      <c r="GUB18" s="2"/>
      <c r="GUC18"/>
      <c r="GUD18" s="5"/>
      <c r="GUE18" s="2"/>
      <c r="GUF18" s="7"/>
      <c r="GUG18"/>
      <c r="GUH18"/>
      <c r="GUI18" s="10"/>
      <c r="GUJ18" s="2"/>
      <c r="GUK18"/>
      <c r="GUL18" s="5"/>
      <c r="GUM18" s="2"/>
      <c r="GUN18" s="7"/>
      <c r="GUO18"/>
      <c r="GUP18"/>
      <c r="GUQ18" s="10"/>
      <c r="GUR18" s="2"/>
      <c r="GUS18"/>
      <c r="GUT18" s="5"/>
      <c r="GUU18" s="2"/>
      <c r="GUV18" s="7"/>
      <c r="GUW18"/>
      <c r="GUX18"/>
      <c r="GUY18" s="10"/>
      <c r="GUZ18" s="2"/>
      <c r="GVA18"/>
      <c r="GVB18" s="5"/>
      <c r="GVC18" s="2"/>
      <c r="GVD18" s="7"/>
      <c r="GVE18"/>
      <c r="GVF18"/>
      <c r="GVG18" s="10"/>
      <c r="GVH18" s="2"/>
      <c r="GVI18"/>
      <c r="GVJ18" s="5"/>
      <c r="GVK18" s="2"/>
      <c r="GVL18" s="7"/>
      <c r="GVM18"/>
      <c r="GVN18"/>
      <c r="GVO18" s="10"/>
      <c r="GVP18" s="2"/>
      <c r="GVQ18"/>
      <c r="GVR18" s="5"/>
      <c r="GVS18" s="2"/>
      <c r="GVT18" s="7"/>
      <c r="GVU18"/>
      <c r="GVV18"/>
      <c r="GVW18" s="10"/>
      <c r="GVX18" s="2"/>
      <c r="GVY18"/>
      <c r="GVZ18" s="5"/>
      <c r="GWA18" s="2"/>
      <c r="GWB18" s="7"/>
      <c r="GWC18"/>
      <c r="GWD18"/>
      <c r="GWE18" s="10"/>
      <c r="GWF18" s="2"/>
      <c r="GWG18"/>
      <c r="GWH18" s="5"/>
      <c r="GWI18" s="2"/>
      <c r="GWJ18" s="7"/>
      <c r="GWK18"/>
      <c r="GWL18"/>
      <c r="GWM18" s="10"/>
      <c r="GWN18" s="2"/>
      <c r="GWO18"/>
      <c r="GWP18" s="5"/>
      <c r="GWQ18" s="2"/>
      <c r="GWR18" s="7"/>
      <c r="GWS18"/>
      <c r="GWT18"/>
      <c r="GWU18" s="10"/>
      <c r="GWV18" s="2"/>
      <c r="GWW18"/>
      <c r="GWX18" s="5"/>
      <c r="GWY18" s="2"/>
      <c r="GWZ18" s="7"/>
      <c r="GXA18"/>
      <c r="GXB18"/>
      <c r="GXC18" s="10"/>
      <c r="GXD18" s="2"/>
      <c r="GXE18"/>
      <c r="GXF18" s="5"/>
      <c r="GXG18" s="2"/>
      <c r="GXH18" s="7"/>
      <c r="GXI18"/>
      <c r="GXJ18"/>
      <c r="GXK18" s="10"/>
      <c r="GXL18" s="2"/>
      <c r="GXM18"/>
      <c r="GXN18" s="5"/>
      <c r="GXO18" s="2"/>
      <c r="GXP18" s="7"/>
      <c r="GXQ18"/>
      <c r="GXR18"/>
      <c r="GXS18" s="10"/>
      <c r="GXT18" s="2"/>
      <c r="GXU18"/>
      <c r="GXV18" s="5"/>
      <c r="GXW18" s="2"/>
      <c r="GXX18" s="7"/>
      <c r="GXY18"/>
      <c r="GXZ18"/>
      <c r="GYA18" s="10"/>
      <c r="GYB18" s="2"/>
      <c r="GYC18"/>
      <c r="GYD18" s="5"/>
      <c r="GYE18" s="2"/>
      <c r="GYF18" s="7"/>
      <c r="GYG18"/>
      <c r="GYH18"/>
      <c r="GYI18" s="10"/>
      <c r="GYJ18" s="2"/>
      <c r="GYK18"/>
      <c r="GYL18" s="5"/>
      <c r="GYM18" s="2"/>
      <c r="GYN18" s="7"/>
      <c r="GYO18"/>
      <c r="GYP18"/>
      <c r="GYQ18" s="10"/>
      <c r="GYR18" s="2"/>
      <c r="GYS18"/>
      <c r="GYT18" s="5"/>
      <c r="GYU18" s="2"/>
      <c r="GYV18" s="7"/>
      <c r="GYW18"/>
      <c r="GYX18"/>
      <c r="GYY18" s="10"/>
      <c r="GYZ18" s="2"/>
      <c r="GZA18"/>
      <c r="GZB18" s="5"/>
      <c r="GZC18" s="2"/>
      <c r="GZD18" s="7"/>
      <c r="GZE18"/>
      <c r="GZF18"/>
      <c r="GZG18" s="10"/>
      <c r="GZH18" s="2"/>
      <c r="GZI18"/>
      <c r="GZJ18" s="5"/>
      <c r="GZK18" s="2"/>
      <c r="GZL18" s="7"/>
      <c r="GZM18"/>
      <c r="GZN18"/>
      <c r="GZO18" s="10"/>
      <c r="GZP18" s="2"/>
      <c r="GZQ18"/>
      <c r="GZR18" s="5"/>
      <c r="GZS18" s="2"/>
      <c r="GZT18" s="7"/>
      <c r="GZU18"/>
      <c r="GZV18"/>
      <c r="GZW18" s="10"/>
      <c r="GZX18" s="2"/>
      <c r="GZY18"/>
      <c r="GZZ18" s="5"/>
      <c r="HAA18" s="2"/>
      <c r="HAB18" s="7"/>
      <c r="HAC18"/>
      <c r="HAD18"/>
      <c r="HAE18" s="10"/>
      <c r="HAF18" s="2"/>
      <c r="HAG18"/>
      <c r="HAH18" s="5"/>
      <c r="HAI18" s="2"/>
      <c r="HAJ18" s="7"/>
      <c r="HAK18"/>
      <c r="HAL18"/>
      <c r="HAM18" s="10"/>
      <c r="HAN18" s="2"/>
      <c r="HAO18"/>
      <c r="HAP18" s="5"/>
      <c r="HAQ18" s="2"/>
      <c r="HAR18" s="7"/>
      <c r="HAS18"/>
      <c r="HAT18"/>
      <c r="HAU18" s="10"/>
      <c r="HAV18" s="2"/>
      <c r="HAW18"/>
      <c r="HAX18" s="5"/>
      <c r="HAY18" s="2"/>
      <c r="HAZ18" s="7"/>
      <c r="HBA18"/>
      <c r="HBB18"/>
      <c r="HBC18" s="10"/>
      <c r="HBD18" s="2"/>
      <c r="HBE18"/>
      <c r="HBF18" s="5"/>
      <c r="HBG18" s="2"/>
      <c r="HBH18" s="7"/>
      <c r="HBI18"/>
      <c r="HBJ18"/>
      <c r="HBK18" s="10"/>
      <c r="HBL18" s="2"/>
      <c r="HBM18"/>
      <c r="HBN18" s="5"/>
      <c r="HBO18" s="2"/>
      <c r="HBP18" s="7"/>
      <c r="HBQ18"/>
      <c r="HBR18"/>
      <c r="HBS18" s="10"/>
      <c r="HBT18" s="2"/>
      <c r="HBU18"/>
      <c r="HBV18" s="5"/>
      <c r="HBW18" s="2"/>
      <c r="HBX18" s="7"/>
      <c r="HBY18"/>
      <c r="HBZ18"/>
      <c r="HCA18" s="10"/>
      <c r="HCB18" s="2"/>
      <c r="HCC18"/>
      <c r="HCD18" s="5"/>
      <c r="HCE18" s="2"/>
      <c r="HCF18" s="7"/>
      <c r="HCG18"/>
      <c r="HCH18"/>
      <c r="HCI18" s="10"/>
      <c r="HCJ18" s="2"/>
      <c r="HCK18"/>
      <c r="HCL18" s="5"/>
      <c r="HCM18" s="2"/>
      <c r="HCN18" s="7"/>
      <c r="HCO18"/>
      <c r="HCP18"/>
      <c r="HCQ18" s="10"/>
      <c r="HCR18" s="2"/>
      <c r="HCS18"/>
      <c r="HCT18" s="5"/>
      <c r="HCU18" s="2"/>
      <c r="HCV18" s="7"/>
      <c r="HCW18"/>
      <c r="HCX18"/>
      <c r="HCY18" s="10"/>
      <c r="HCZ18" s="2"/>
      <c r="HDA18"/>
      <c r="HDB18" s="5"/>
      <c r="HDC18" s="2"/>
      <c r="HDD18" s="7"/>
      <c r="HDE18"/>
      <c r="HDF18"/>
      <c r="HDG18" s="10"/>
      <c r="HDH18" s="2"/>
      <c r="HDI18"/>
      <c r="HDJ18" s="5"/>
      <c r="HDK18" s="2"/>
      <c r="HDL18" s="7"/>
      <c r="HDM18"/>
      <c r="HDN18"/>
      <c r="HDO18" s="10"/>
      <c r="HDP18" s="2"/>
      <c r="HDQ18"/>
      <c r="HDR18" s="5"/>
      <c r="HDS18" s="2"/>
      <c r="HDT18" s="7"/>
      <c r="HDU18"/>
      <c r="HDV18"/>
      <c r="HDW18" s="10"/>
      <c r="HDX18" s="2"/>
      <c r="HDY18"/>
      <c r="HDZ18" s="5"/>
      <c r="HEA18" s="2"/>
      <c r="HEB18" s="7"/>
      <c r="HEC18"/>
      <c r="HED18"/>
      <c r="HEE18" s="10"/>
      <c r="HEF18" s="2"/>
      <c r="HEG18"/>
      <c r="HEH18" s="5"/>
      <c r="HEI18" s="2"/>
      <c r="HEJ18" s="7"/>
      <c r="HEK18"/>
      <c r="HEL18"/>
      <c r="HEM18" s="10"/>
      <c r="HEN18" s="2"/>
      <c r="HEO18"/>
      <c r="HEP18" s="5"/>
      <c r="HEQ18" s="2"/>
      <c r="HER18" s="7"/>
      <c r="HES18"/>
      <c r="HET18"/>
      <c r="HEU18" s="10"/>
      <c r="HEV18" s="2"/>
      <c r="HEW18"/>
      <c r="HEX18" s="5"/>
      <c r="HEY18" s="2"/>
      <c r="HEZ18" s="7"/>
      <c r="HFA18"/>
      <c r="HFB18"/>
      <c r="HFC18" s="10"/>
      <c r="HFD18" s="2"/>
      <c r="HFE18"/>
      <c r="HFF18" s="5"/>
      <c r="HFG18" s="2"/>
      <c r="HFH18" s="7"/>
      <c r="HFI18"/>
      <c r="HFJ18"/>
      <c r="HFK18" s="10"/>
      <c r="HFL18" s="2"/>
      <c r="HFM18"/>
      <c r="HFN18" s="5"/>
      <c r="HFO18" s="2"/>
      <c r="HFP18" s="7"/>
      <c r="HFQ18"/>
      <c r="HFR18"/>
      <c r="HFS18" s="10"/>
      <c r="HFT18" s="2"/>
      <c r="HFU18"/>
      <c r="HFV18" s="5"/>
      <c r="HFW18" s="2"/>
      <c r="HFX18" s="7"/>
      <c r="HFY18"/>
      <c r="HFZ18"/>
      <c r="HGA18" s="10"/>
      <c r="HGB18" s="2"/>
      <c r="HGC18"/>
      <c r="HGD18" s="5"/>
      <c r="HGE18" s="2"/>
      <c r="HGF18" s="7"/>
      <c r="HGG18"/>
      <c r="HGH18"/>
      <c r="HGI18" s="10"/>
      <c r="HGJ18" s="2"/>
      <c r="HGK18"/>
      <c r="HGL18" s="5"/>
      <c r="HGM18" s="2"/>
      <c r="HGN18" s="7"/>
      <c r="HGO18"/>
      <c r="HGP18"/>
      <c r="HGQ18" s="10"/>
      <c r="HGR18" s="2"/>
      <c r="HGS18"/>
      <c r="HGT18" s="5"/>
      <c r="HGU18" s="2"/>
      <c r="HGV18" s="7"/>
      <c r="HGW18"/>
      <c r="HGX18"/>
      <c r="HGY18" s="10"/>
      <c r="HGZ18" s="2"/>
      <c r="HHA18"/>
      <c r="HHB18" s="5"/>
      <c r="HHC18" s="2"/>
      <c r="HHD18" s="7"/>
      <c r="HHE18"/>
      <c r="HHF18"/>
      <c r="HHG18" s="10"/>
      <c r="HHH18" s="2"/>
      <c r="HHI18"/>
      <c r="HHJ18" s="5"/>
      <c r="HHK18" s="2"/>
      <c r="HHL18" s="7"/>
      <c r="HHM18"/>
      <c r="HHN18"/>
      <c r="HHO18" s="10"/>
      <c r="HHP18" s="2"/>
      <c r="HHQ18"/>
      <c r="HHR18" s="5"/>
      <c r="HHS18" s="2"/>
      <c r="HHT18" s="7"/>
      <c r="HHU18"/>
      <c r="HHV18"/>
      <c r="HHW18" s="10"/>
      <c r="HHX18" s="2"/>
      <c r="HHY18"/>
      <c r="HHZ18" s="5"/>
      <c r="HIA18" s="2"/>
      <c r="HIB18" s="7"/>
      <c r="HIC18"/>
      <c r="HID18"/>
      <c r="HIE18" s="10"/>
      <c r="HIF18" s="2"/>
      <c r="HIG18"/>
      <c r="HIH18" s="5"/>
      <c r="HII18" s="2"/>
      <c r="HIJ18" s="7"/>
      <c r="HIK18"/>
      <c r="HIL18"/>
      <c r="HIM18" s="10"/>
      <c r="HIN18" s="2"/>
      <c r="HIO18"/>
      <c r="HIP18" s="5"/>
      <c r="HIQ18" s="2"/>
      <c r="HIR18" s="7"/>
      <c r="HIS18"/>
      <c r="HIT18"/>
      <c r="HIU18" s="10"/>
      <c r="HIV18" s="2"/>
      <c r="HIW18"/>
      <c r="HIX18" s="5"/>
      <c r="HIY18" s="2"/>
      <c r="HIZ18" s="7"/>
      <c r="HJA18"/>
      <c r="HJB18"/>
      <c r="HJC18" s="10"/>
      <c r="HJD18" s="2"/>
      <c r="HJE18"/>
      <c r="HJF18" s="5"/>
      <c r="HJG18" s="2"/>
      <c r="HJH18" s="7"/>
      <c r="HJI18"/>
      <c r="HJJ18"/>
      <c r="HJK18" s="10"/>
      <c r="HJL18" s="2"/>
      <c r="HJM18"/>
      <c r="HJN18" s="5"/>
      <c r="HJO18" s="2"/>
      <c r="HJP18" s="7"/>
      <c r="HJQ18"/>
      <c r="HJR18"/>
      <c r="HJS18" s="10"/>
      <c r="HJT18" s="2"/>
      <c r="HJU18"/>
      <c r="HJV18" s="5"/>
      <c r="HJW18" s="2"/>
      <c r="HJX18" s="7"/>
      <c r="HJY18"/>
      <c r="HJZ18"/>
      <c r="HKA18" s="10"/>
      <c r="HKB18" s="2"/>
      <c r="HKC18"/>
      <c r="HKD18" s="5"/>
      <c r="HKE18" s="2"/>
      <c r="HKF18" s="7"/>
      <c r="HKG18"/>
      <c r="HKH18"/>
      <c r="HKI18" s="10"/>
      <c r="HKJ18" s="2"/>
      <c r="HKK18"/>
      <c r="HKL18" s="5"/>
      <c r="HKM18" s="2"/>
      <c r="HKN18" s="7"/>
      <c r="HKO18"/>
      <c r="HKP18"/>
      <c r="HKQ18" s="10"/>
      <c r="HKR18" s="2"/>
      <c r="HKS18"/>
      <c r="HKT18" s="5"/>
      <c r="HKU18" s="2"/>
      <c r="HKV18" s="7"/>
      <c r="HKW18"/>
      <c r="HKX18"/>
      <c r="HKY18" s="10"/>
      <c r="HKZ18" s="2"/>
      <c r="HLA18"/>
      <c r="HLB18" s="5"/>
      <c r="HLC18" s="2"/>
      <c r="HLD18" s="7"/>
      <c r="HLE18"/>
      <c r="HLF18"/>
      <c r="HLG18" s="10"/>
      <c r="HLH18" s="2"/>
      <c r="HLI18"/>
      <c r="HLJ18" s="5"/>
      <c r="HLK18" s="2"/>
      <c r="HLL18" s="7"/>
      <c r="HLM18"/>
      <c r="HLN18"/>
      <c r="HLO18" s="10"/>
      <c r="HLP18" s="2"/>
      <c r="HLQ18"/>
      <c r="HLR18" s="5"/>
      <c r="HLS18" s="2"/>
      <c r="HLT18" s="7"/>
      <c r="HLU18"/>
      <c r="HLV18"/>
      <c r="HLW18" s="10"/>
      <c r="HLX18" s="2"/>
      <c r="HLY18"/>
      <c r="HLZ18" s="5"/>
      <c r="HMA18" s="2"/>
      <c r="HMB18" s="7"/>
      <c r="HMC18"/>
      <c r="HMD18"/>
      <c r="HME18" s="10"/>
      <c r="HMF18" s="2"/>
      <c r="HMG18"/>
      <c r="HMH18" s="5"/>
      <c r="HMI18" s="2"/>
      <c r="HMJ18" s="7"/>
      <c r="HMK18"/>
      <c r="HML18"/>
      <c r="HMM18" s="10"/>
      <c r="HMN18" s="2"/>
      <c r="HMO18"/>
      <c r="HMP18" s="5"/>
      <c r="HMQ18" s="2"/>
      <c r="HMR18" s="7"/>
      <c r="HMS18"/>
      <c r="HMT18"/>
      <c r="HMU18" s="10"/>
      <c r="HMV18" s="2"/>
      <c r="HMW18"/>
      <c r="HMX18" s="5"/>
      <c r="HMY18" s="2"/>
      <c r="HMZ18" s="7"/>
      <c r="HNA18"/>
      <c r="HNB18"/>
      <c r="HNC18" s="10"/>
      <c r="HND18" s="2"/>
      <c r="HNE18"/>
      <c r="HNF18" s="5"/>
      <c r="HNG18" s="2"/>
      <c r="HNH18" s="7"/>
      <c r="HNI18"/>
      <c r="HNJ18"/>
      <c r="HNK18" s="10"/>
      <c r="HNL18" s="2"/>
      <c r="HNM18"/>
      <c r="HNN18" s="5"/>
      <c r="HNO18" s="2"/>
      <c r="HNP18" s="7"/>
      <c r="HNQ18"/>
      <c r="HNR18"/>
      <c r="HNS18" s="10"/>
      <c r="HNT18" s="2"/>
      <c r="HNU18"/>
      <c r="HNV18" s="5"/>
      <c r="HNW18" s="2"/>
      <c r="HNX18" s="7"/>
      <c r="HNY18"/>
      <c r="HNZ18"/>
      <c r="HOA18" s="10"/>
      <c r="HOB18" s="2"/>
      <c r="HOC18"/>
      <c r="HOD18" s="5"/>
      <c r="HOE18" s="2"/>
      <c r="HOF18" s="7"/>
      <c r="HOG18"/>
      <c r="HOH18"/>
      <c r="HOI18" s="10"/>
      <c r="HOJ18" s="2"/>
      <c r="HOK18"/>
      <c r="HOL18" s="5"/>
      <c r="HOM18" s="2"/>
      <c r="HON18" s="7"/>
      <c r="HOO18"/>
      <c r="HOP18"/>
      <c r="HOQ18" s="10"/>
      <c r="HOR18" s="2"/>
      <c r="HOS18"/>
      <c r="HOT18" s="5"/>
      <c r="HOU18" s="2"/>
      <c r="HOV18" s="7"/>
      <c r="HOW18"/>
      <c r="HOX18"/>
      <c r="HOY18" s="10"/>
      <c r="HOZ18" s="2"/>
      <c r="HPA18"/>
      <c r="HPB18" s="5"/>
      <c r="HPC18" s="2"/>
      <c r="HPD18" s="7"/>
      <c r="HPE18"/>
      <c r="HPF18"/>
      <c r="HPG18" s="10"/>
      <c r="HPH18" s="2"/>
      <c r="HPI18"/>
      <c r="HPJ18" s="5"/>
      <c r="HPK18" s="2"/>
      <c r="HPL18" s="7"/>
      <c r="HPM18"/>
      <c r="HPN18"/>
      <c r="HPO18" s="10"/>
      <c r="HPP18" s="2"/>
      <c r="HPQ18"/>
      <c r="HPR18" s="5"/>
      <c r="HPS18" s="2"/>
      <c r="HPT18" s="7"/>
      <c r="HPU18"/>
      <c r="HPV18"/>
      <c r="HPW18" s="10"/>
      <c r="HPX18" s="2"/>
      <c r="HPY18"/>
      <c r="HPZ18" s="5"/>
      <c r="HQA18" s="2"/>
      <c r="HQB18" s="7"/>
      <c r="HQC18"/>
      <c r="HQD18"/>
      <c r="HQE18" s="10"/>
      <c r="HQF18" s="2"/>
      <c r="HQG18"/>
      <c r="HQH18" s="5"/>
      <c r="HQI18" s="2"/>
      <c r="HQJ18" s="7"/>
      <c r="HQK18"/>
      <c r="HQL18"/>
      <c r="HQM18" s="10"/>
      <c r="HQN18" s="2"/>
      <c r="HQO18"/>
      <c r="HQP18" s="5"/>
      <c r="HQQ18" s="2"/>
      <c r="HQR18" s="7"/>
      <c r="HQS18"/>
      <c r="HQT18"/>
      <c r="HQU18" s="10"/>
      <c r="HQV18" s="2"/>
      <c r="HQW18"/>
      <c r="HQX18" s="5"/>
      <c r="HQY18" s="2"/>
      <c r="HQZ18" s="7"/>
      <c r="HRA18"/>
      <c r="HRB18"/>
      <c r="HRC18" s="10"/>
      <c r="HRD18" s="2"/>
      <c r="HRE18"/>
      <c r="HRF18" s="5"/>
      <c r="HRG18" s="2"/>
      <c r="HRH18" s="7"/>
      <c r="HRI18"/>
      <c r="HRJ18"/>
      <c r="HRK18" s="10"/>
      <c r="HRL18" s="2"/>
      <c r="HRM18"/>
      <c r="HRN18" s="5"/>
      <c r="HRO18" s="2"/>
      <c r="HRP18" s="7"/>
      <c r="HRQ18"/>
      <c r="HRR18"/>
      <c r="HRS18" s="10"/>
      <c r="HRT18" s="2"/>
      <c r="HRU18"/>
      <c r="HRV18" s="5"/>
      <c r="HRW18" s="2"/>
      <c r="HRX18" s="7"/>
      <c r="HRY18"/>
      <c r="HRZ18"/>
      <c r="HSA18" s="10"/>
      <c r="HSB18" s="2"/>
      <c r="HSC18"/>
      <c r="HSD18" s="5"/>
      <c r="HSE18" s="2"/>
      <c r="HSF18" s="7"/>
      <c r="HSG18"/>
      <c r="HSH18"/>
      <c r="HSI18" s="10"/>
      <c r="HSJ18" s="2"/>
      <c r="HSK18"/>
      <c r="HSL18" s="5"/>
      <c r="HSM18" s="2"/>
      <c r="HSN18" s="7"/>
      <c r="HSO18"/>
      <c r="HSP18"/>
      <c r="HSQ18" s="10"/>
      <c r="HSR18" s="2"/>
      <c r="HSS18"/>
      <c r="HST18" s="5"/>
      <c r="HSU18" s="2"/>
      <c r="HSV18" s="7"/>
      <c r="HSW18"/>
      <c r="HSX18"/>
      <c r="HSY18" s="10"/>
      <c r="HSZ18" s="2"/>
      <c r="HTA18"/>
      <c r="HTB18" s="5"/>
      <c r="HTC18" s="2"/>
      <c r="HTD18" s="7"/>
      <c r="HTE18"/>
      <c r="HTF18"/>
      <c r="HTG18" s="10"/>
      <c r="HTH18" s="2"/>
      <c r="HTI18"/>
      <c r="HTJ18" s="5"/>
      <c r="HTK18" s="2"/>
      <c r="HTL18" s="7"/>
      <c r="HTM18"/>
      <c r="HTN18"/>
      <c r="HTO18" s="10"/>
      <c r="HTP18" s="2"/>
      <c r="HTQ18"/>
      <c r="HTR18" s="5"/>
      <c r="HTS18" s="2"/>
      <c r="HTT18" s="7"/>
      <c r="HTU18"/>
      <c r="HTV18"/>
      <c r="HTW18" s="10"/>
      <c r="HTX18" s="2"/>
      <c r="HTY18"/>
      <c r="HTZ18" s="5"/>
      <c r="HUA18" s="2"/>
      <c r="HUB18" s="7"/>
      <c r="HUC18"/>
      <c r="HUD18"/>
      <c r="HUE18" s="10"/>
      <c r="HUF18" s="2"/>
      <c r="HUG18"/>
      <c r="HUH18" s="5"/>
      <c r="HUI18" s="2"/>
      <c r="HUJ18" s="7"/>
      <c r="HUK18"/>
      <c r="HUL18"/>
      <c r="HUM18" s="10"/>
      <c r="HUN18" s="2"/>
      <c r="HUO18"/>
      <c r="HUP18" s="5"/>
      <c r="HUQ18" s="2"/>
      <c r="HUR18" s="7"/>
      <c r="HUS18"/>
      <c r="HUT18"/>
      <c r="HUU18" s="10"/>
      <c r="HUV18" s="2"/>
      <c r="HUW18"/>
      <c r="HUX18" s="5"/>
      <c r="HUY18" s="2"/>
      <c r="HUZ18" s="7"/>
      <c r="HVA18"/>
      <c r="HVB18"/>
      <c r="HVC18" s="10"/>
      <c r="HVD18" s="2"/>
      <c r="HVE18"/>
      <c r="HVF18" s="5"/>
      <c r="HVG18" s="2"/>
      <c r="HVH18" s="7"/>
      <c r="HVI18"/>
      <c r="HVJ18"/>
      <c r="HVK18" s="10"/>
      <c r="HVL18" s="2"/>
      <c r="HVM18"/>
      <c r="HVN18" s="5"/>
      <c r="HVO18" s="2"/>
      <c r="HVP18" s="7"/>
      <c r="HVQ18"/>
      <c r="HVR18"/>
      <c r="HVS18" s="10"/>
      <c r="HVT18" s="2"/>
      <c r="HVU18"/>
      <c r="HVV18" s="5"/>
      <c r="HVW18" s="2"/>
      <c r="HVX18" s="7"/>
      <c r="HVY18"/>
      <c r="HVZ18"/>
      <c r="HWA18" s="10"/>
      <c r="HWB18" s="2"/>
      <c r="HWC18"/>
      <c r="HWD18" s="5"/>
      <c r="HWE18" s="2"/>
      <c r="HWF18" s="7"/>
      <c r="HWG18"/>
      <c r="HWH18"/>
      <c r="HWI18" s="10"/>
      <c r="HWJ18" s="2"/>
      <c r="HWK18"/>
      <c r="HWL18" s="5"/>
      <c r="HWM18" s="2"/>
      <c r="HWN18" s="7"/>
      <c r="HWO18"/>
      <c r="HWP18"/>
      <c r="HWQ18" s="10"/>
      <c r="HWR18" s="2"/>
      <c r="HWS18"/>
      <c r="HWT18" s="5"/>
      <c r="HWU18" s="2"/>
      <c r="HWV18" s="7"/>
      <c r="HWW18"/>
      <c r="HWX18"/>
      <c r="HWY18" s="10"/>
      <c r="HWZ18" s="2"/>
      <c r="HXA18"/>
      <c r="HXB18" s="5"/>
      <c r="HXC18" s="2"/>
      <c r="HXD18" s="7"/>
      <c r="HXE18"/>
      <c r="HXF18"/>
      <c r="HXG18" s="10"/>
      <c r="HXH18" s="2"/>
      <c r="HXI18"/>
      <c r="HXJ18" s="5"/>
      <c r="HXK18" s="2"/>
      <c r="HXL18" s="7"/>
      <c r="HXM18"/>
      <c r="HXN18"/>
      <c r="HXO18" s="10"/>
      <c r="HXP18" s="2"/>
      <c r="HXQ18"/>
      <c r="HXR18" s="5"/>
      <c r="HXS18" s="2"/>
      <c r="HXT18" s="7"/>
      <c r="HXU18"/>
      <c r="HXV18"/>
      <c r="HXW18" s="10"/>
      <c r="HXX18" s="2"/>
      <c r="HXY18"/>
      <c r="HXZ18" s="5"/>
      <c r="HYA18" s="2"/>
      <c r="HYB18" s="7"/>
      <c r="HYC18"/>
      <c r="HYD18"/>
      <c r="HYE18" s="10"/>
      <c r="HYF18" s="2"/>
      <c r="HYG18"/>
      <c r="HYH18" s="5"/>
      <c r="HYI18" s="2"/>
      <c r="HYJ18" s="7"/>
      <c r="HYK18"/>
      <c r="HYL18"/>
      <c r="HYM18" s="10"/>
      <c r="HYN18" s="2"/>
      <c r="HYO18"/>
      <c r="HYP18" s="5"/>
      <c r="HYQ18" s="2"/>
      <c r="HYR18" s="7"/>
      <c r="HYS18"/>
      <c r="HYT18"/>
      <c r="HYU18" s="10"/>
      <c r="HYV18" s="2"/>
      <c r="HYW18"/>
      <c r="HYX18" s="5"/>
      <c r="HYY18" s="2"/>
      <c r="HYZ18" s="7"/>
      <c r="HZA18"/>
      <c r="HZB18"/>
      <c r="HZC18" s="10"/>
      <c r="HZD18" s="2"/>
      <c r="HZE18"/>
      <c r="HZF18" s="5"/>
      <c r="HZG18" s="2"/>
      <c r="HZH18" s="7"/>
      <c r="HZI18"/>
      <c r="HZJ18"/>
      <c r="HZK18" s="10"/>
      <c r="HZL18" s="2"/>
      <c r="HZM18"/>
      <c r="HZN18" s="5"/>
      <c r="HZO18" s="2"/>
      <c r="HZP18" s="7"/>
      <c r="HZQ18"/>
      <c r="HZR18"/>
      <c r="HZS18" s="10"/>
      <c r="HZT18" s="2"/>
      <c r="HZU18"/>
      <c r="HZV18" s="5"/>
      <c r="HZW18" s="2"/>
      <c r="HZX18" s="7"/>
      <c r="HZY18"/>
      <c r="HZZ18"/>
      <c r="IAA18" s="10"/>
      <c r="IAB18" s="2"/>
      <c r="IAC18"/>
      <c r="IAD18" s="5"/>
      <c r="IAE18" s="2"/>
      <c r="IAF18" s="7"/>
      <c r="IAG18"/>
      <c r="IAH18"/>
      <c r="IAI18" s="10"/>
      <c r="IAJ18" s="2"/>
      <c r="IAK18"/>
      <c r="IAL18" s="5"/>
      <c r="IAM18" s="2"/>
      <c r="IAN18" s="7"/>
      <c r="IAO18"/>
      <c r="IAP18"/>
      <c r="IAQ18" s="10"/>
      <c r="IAR18" s="2"/>
      <c r="IAS18"/>
      <c r="IAT18" s="5"/>
      <c r="IAU18" s="2"/>
      <c r="IAV18" s="7"/>
      <c r="IAW18"/>
      <c r="IAX18"/>
      <c r="IAY18" s="10"/>
      <c r="IAZ18" s="2"/>
      <c r="IBA18"/>
      <c r="IBB18" s="5"/>
      <c r="IBC18" s="2"/>
      <c r="IBD18" s="7"/>
      <c r="IBE18"/>
      <c r="IBF18"/>
      <c r="IBG18" s="10"/>
      <c r="IBH18" s="2"/>
      <c r="IBI18"/>
      <c r="IBJ18" s="5"/>
      <c r="IBK18" s="2"/>
      <c r="IBL18" s="7"/>
      <c r="IBM18"/>
      <c r="IBN18"/>
      <c r="IBO18" s="10"/>
      <c r="IBP18" s="2"/>
      <c r="IBQ18"/>
      <c r="IBR18" s="5"/>
      <c r="IBS18" s="2"/>
      <c r="IBT18" s="7"/>
      <c r="IBU18"/>
      <c r="IBV18"/>
      <c r="IBW18" s="10"/>
      <c r="IBX18" s="2"/>
      <c r="IBY18"/>
      <c r="IBZ18" s="5"/>
      <c r="ICA18" s="2"/>
      <c r="ICB18" s="7"/>
      <c r="ICC18"/>
      <c r="ICD18"/>
      <c r="ICE18" s="10"/>
      <c r="ICF18" s="2"/>
      <c r="ICG18"/>
      <c r="ICH18" s="5"/>
      <c r="ICI18" s="2"/>
      <c r="ICJ18" s="7"/>
      <c r="ICK18"/>
      <c r="ICL18"/>
      <c r="ICM18" s="10"/>
      <c r="ICN18" s="2"/>
      <c r="ICO18"/>
      <c r="ICP18" s="5"/>
      <c r="ICQ18" s="2"/>
      <c r="ICR18" s="7"/>
      <c r="ICS18"/>
      <c r="ICT18"/>
      <c r="ICU18" s="10"/>
      <c r="ICV18" s="2"/>
      <c r="ICW18"/>
      <c r="ICX18" s="5"/>
      <c r="ICY18" s="2"/>
      <c r="ICZ18" s="7"/>
      <c r="IDA18"/>
      <c r="IDB18"/>
      <c r="IDC18" s="10"/>
      <c r="IDD18" s="2"/>
      <c r="IDE18"/>
      <c r="IDF18" s="5"/>
      <c r="IDG18" s="2"/>
      <c r="IDH18" s="7"/>
      <c r="IDI18"/>
      <c r="IDJ18"/>
      <c r="IDK18" s="10"/>
      <c r="IDL18" s="2"/>
      <c r="IDM18"/>
      <c r="IDN18" s="5"/>
      <c r="IDO18" s="2"/>
      <c r="IDP18" s="7"/>
      <c r="IDQ18"/>
      <c r="IDR18"/>
      <c r="IDS18" s="10"/>
      <c r="IDT18" s="2"/>
      <c r="IDU18"/>
      <c r="IDV18" s="5"/>
      <c r="IDW18" s="2"/>
      <c r="IDX18" s="7"/>
      <c r="IDY18"/>
      <c r="IDZ18"/>
      <c r="IEA18" s="10"/>
      <c r="IEB18" s="2"/>
      <c r="IEC18"/>
      <c r="IED18" s="5"/>
      <c r="IEE18" s="2"/>
      <c r="IEF18" s="7"/>
      <c r="IEG18"/>
      <c r="IEH18"/>
      <c r="IEI18" s="10"/>
      <c r="IEJ18" s="2"/>
      <c r="IEK18"/>
      <c r="IEL18" s="5"/>
      <c r="IEM18" s="2"/>
      <c r="IEN18" s="7"/>
      <c r="IEO18"/>
      <c r="IEP18"/>
      <c r="IEQ18" s="10"/>
      <c r="IER18" s="2"/>
      <c r="IES18"/>
      <c r="IET18" s="5"/>
      <c r="IEU18" s="2"/>
      <c r="IEV18" s="7"/>
      <c r="IEW18"/>
      <c r="IEX18"/>
      <c r="IEY18" s="10"/>
      <c r="IEZ18" s="2"/>
      <c r="IFA18"/>
      <c r="IFB18" s="5"/>
      <c r="IFC18" s="2"/>
      <c r="IFD18" s="7"/>
      <c r="IFE18"/>
      <c r="IFF18"/>
      <c r="IFG18" s="10"/>
      <c r="IFH18" s="2"/>
      <c r="IFI18"/>
      <c r="IFJ18" s="5"/>
      <c r="IFK18" s="2"/>
      <c r="IFL18" s="7"/>
      <c r="IFM18"/>
      <c r="IFN18"/>
      <c r="IFO18" s="10"/>
      <c r="IFP18" s="2"/>
      <c r="IFQ18"/>
      <c r="IFR18" s="5"/>
      <c r="IFS18" s="2"/>
      <c r="IFT18" s="7"/>
      <c r="IFU18"/>
      <c r="IFV18"/>
      <c r="IFW18" s="10"/>
      <c r="IFX18" s="2"/>
      <c r="IFY18"/>
      <c r="IFZ18" s="5"/>
      <c r="IGA18" s="2"/>
      <c r="IGB18" s="7"/>
      <c r="IGC18"/>
      <c r="IGD18"/>
      <c r="IGE18" s="10"/>
      <c r="IGF18" s="2"/>
      <c r="IGG18"/>
      <c r="IGH18" s="5"/>
      <c r="IGI18" s="2"/>
      <c r="IGJ18" s="7"/>
      <c r="IGK18"/>
      <c r="IGL18"/>
      <c r="IGM18" s="10"/>
      <c r="IGN18" s="2"/>
      <c r="IGO18"/>
      <c r="IGP18" s="5"/>
      <c r="IGQ18" s="2"/>
      <c r="IGR18" s="7"/>
      <c r="IGS18"/>
      <c r="IGT18"/>
      <c r="IGU18" s="10"/>
      <c r="IGV18" s="2"/>
      <c r="IGW18"/>
      <c r="IGX18" s="5"/>
      <c r="IGY18" s="2"/>
      <c r="IGZ18" s="7"/>
      <c r="IHA18"/>
      <c r="IHB18"/>
      <c r="IHC18" s="10"/>
      <c r="IHD18" s="2"/>
      <c r="IHE18"/>
      <c r="IHF18" s="5"/>
      <c r="IHG18" s="2"/>
      <c r="IHH18" s="7"/>
      <c r="IHI18"/>
      <c r="IHJ18"/>
      <c r="IHK18" s="10"/>
      <c r="IHL18" s="2"/>
      <c r="IHM18"/>
      <c r="IHN18" s="5"/>
      <c r="IHO18" s="2"/>
      <c r="IHP18" s="7"/>
      <c r="IHQ18"/>
      <c r="IHR18"/>
      <c r="IHS18" s="10"/>
      <c r="IHT18" s="2"/>
      <c r="IHU18"/>
      <c r="IHV18" s="5"/>
      <c r="IHW18" s="2"/>
      <c r="IHX18" s="7"/>
      <c r="IHY18"/>
      <c r="IHZ18"/>
      <c r="IIA18" s="10"/>
      <c r="IIB18" s="2"/>
      <c r="IIC18"/>
      <c r="IID18" s="5"/>
      <c r="IIE18" s="2"/>
      <c r="IIF18" s="7"/>
      <c r="IIG18"/>
      <c r="IIH18"/>
      <c r="III18" s="10"/>
      <c r="IIJ18" s="2"/>
      <c r="IIK18"/>
      <c r="IIL18" s="5"/>
      <c r="IIM18" s="2"/>
      <c r="IIN18" s="7"/>
      <c r="IIO18"/>
      <c r="IIP18"/>
      <c r="IIQ18" s="10"/>
      <c r="IIR18" s="2"/>
      <c r="IIS18"/>
      <c r="IIT18" s="5"/>
      <c r="IIU18" s="2"/>
      <c r="IIV18" s="7"/>
      <c r="IIW18"/>
      <c r="IIX18"/>
      <c r="IIY18" s="10"/>
      <c r="IIZ18" s="2"/>
      <c r="IJA18"/>
      <c r="IJB18" s="5"/>
      <c r="IJC18" s="2"/>
      <c r="IJD18" s="7"/>
      <c r="IJE18"/>
      <c r="IJF18"/>
      <c r="IJG18" s="10"/>
      <c r="IJH18" s="2"/>
      <c r="IJI18"/>
      <c r="IJJ18" s="5"/>
      <c r="IJK18" s="2"/>
      <c r="IJL18" s="7"/>
      <c r="IJM18"/>
      <c r="IJN18"/>
      <c r="IJO18" s="10"/>
      <c r="IJP18" s="2"/>
      <c r="IJQ18"/>
      <c r="IJR18" s="5"/>
      <c r="IJS18" s="2"/>
      <c r="IJT18" s="7"/>
      <c r="IJU18"/>
      <c r="IJV18"/>
      <c r="IJW18" s="10"/>
      <c r="IJX18" s="2"/>
      <c r="IJY18"/>
      <c r="IJZ18" s="5"/>
      <c r="IKA18" s="2"/>
      <c r="IKB18" s="7"/>
      <c r="IKC18"/>
      <c r="IKD18"/>
      <c r="IKE18" s="10"/>
      <c r="IKF18" s="2"/>
      <c r="IKG18"/>
      <c r="IKH18" s="5"/>
      <c r="IKI18" s="2"/>
      <c r="IKJ18" s="7"/>
      <c r="IKK18"/>
      <c r="IKL18"/>
      <c r="IKM18" s="10"/>
      <c r="IKN18" s="2"/>
      <c r="IKO18"/>
      <c r="IKP18" s="5"/>
      <c r="IKQ18" s="2"/>
      <c r="IKR18" s="7"/>
      <c r="IKS18"/>
      <c r="IKT18"/>
      <c r="IKU18" s="10"/>
      <c r="IKV18" s="2"/>
      <c r="IKW18"/>
      <c r="IKX18" s="5"/>
      <c r="IKY18" s="2"/>
      <c r="IKZ18" s="7"/>
      <c r="ILA18"/>
      <c r="ILB18"/>
      <c r="ILC18" s="10"/>
      <c r="ILD18" s="2"/>
      <c r="ILE18"/>
      <c r="ILF18" s="5"/>
      <c r="ILG18" s="2"/>
      <c r="ILH18" s="7"/>
      <c r="ILI18"/>
      <c r="ILJ18"/>
      <c r="ILK18" s="10"/>
      <c r="ILL18" s="2"/>
      <c r="ILM18"/>
      <c r="ILN18" s="5"/>
      <c r="ILO18" s="2"/>
      <c r="ILP18" s="7"/>
      <c r="ILQ18"/>
      <c r="ILR18"/>
      <c r="ILS18" s="10"/>
      <c r="ILT18" s="2"/>
      <c r="ILU18"/>
      <c r="ILV18" s="5"/>
      <c r="ILW18" s="2"/>
      <c r="ILX18" s="7"/>
      <c r="ILY18"/>
      <c r="ILZ18"/>
      <c r="IMA18" s="10"/>
      <c r="IMB18" s="2"/>
      <c r="IMC18"/>
      <c r="IMD18" s="5"/>
      <c r="IME18" s="2"/>
      <c r="IMF18" s="7"/>
      <c r="IMG18"/>
      <c r="IMH18"/>
      <c r="IMI18" s="10"/>
      <c r="IMJ18" s="2"/>
      <c r="IMK18"/>
      <c r="IML18" s="5"/>
      <c r="IMM18" s="2"/>
      <c r="IMN18" s="7"/>
      <c r="IMO18"/>
      <c r="IMP18"/>
      <c r="IMQ18" s="10"/>
      <c r="IMR18" s="2"/>
      <c r="IMS18"/>
      <c r="IMT18" s="5"/>
      <c r="IMU18" s="2"/>
      <c r="IMV18" s="7"/>
      <c r="IMW18"/>
      <c r="IMX18"/>
      <c r="IMY18" s="10"/>
      <c r="IMZ18" s="2"/>
      <c r="INA18"/>
      <c r="INB18" s="5"/>
      <c r="INC18" s="2"/>
      <c r="IND18" s="7"/>
      <c r="INE18"/>
      <c r="INF18"/>
      <c r="ING18" s="10"/>
      <c r="INH18" s="2"/>
      <c r="INI18"/>
      <c r="INJ18" s="5"/>
      <c r="INK18" s="2"/>
      <c r="INL18" s="7"/>
      <c r="INM18"/>
      <c r="INN18"/>
      <c r="INO18" s="10"/>
      <c r="INP18" s="2"/>
      <c r="INQ18"/>
      <c r="INR18" s="5"/>
      <c r="INS18" s="2"/>
      <c r="INT18" s="7"/>
      <c r="INU18"/>
      <c r="INV18"/>
      <c r="INW18" s="10"/>
      <c r="INX18" s="2"/>
      <c r="INY18"/>
      <c r="INZ18" s="5"/>
      <c r="IOA18" s="2"/>
      <c r="IOB18" s="7"/>
      <c r="IOC18"/>
      <c r="IOD18"/>
      <c r="IOE18" s="10"/>
      <c r="IOF18" s="2"/>
      <c r="IOG18"/>
      <c r="IOH18" s="5"/>
      <c r="IOI18" s="2"/>
      <c r="IOJ18" s="7"/>
      <c r="IOK18"/>
      <c r="IOL18"/>
      <c r="IOM18" s="10"/>
      <c r="ION18" s="2"/>
      <c r="IOO18"/>
      <c r="IOP18" s="5"/>
      <c r="IOQ18" s="2"/>
      <c r="IOR18" s="7"/>
      <c r="IOS18"/>
      <c r="IOT18"/>
      <c r="IOU18" s="10"/>
      <c r="IOV18" s="2"/>
      <c r="IOW18"/>
      <c r="IOX18" s="5"/>
      <c r="IOY18" s="2"/>
      <c r="IOZ18" s="7"/>
      <c r="IPA18"/>
      <c r="IPB18"/>
      <c r="IPC18" s="10"/>
      <c r="IPD18" s="2"/>
      <c r="IPE18"/>
      <c r="IPF18" s="5"/>
      <c r="IPG18" s="2"/>
      <c r="IPH18" s="7"/>
      <c r="IPI18"/>
      <c r="IPJ18"/>
      <c r="IPK18" s="10"/>
      <c r="IPL18" s="2"/>
      <c r="IPM18"/>
      <c r="IPN18" s="5"/>
      <c r="IPO18" s="2"/>
      <c r="IPP18" s="7"/>
      <c r="IPQ18"/>
      <c r="IPR18"/>
      <c r="IPS18" s="10"/>
      <c r="IPT18" s="2"/>
      <c r="IPU18"/>
      <c r="IPV18" s="5"/>
      <c r="IPW18" s="2"/>
      <c r="IPX18" s="7"/>
      <c r="IPY18"/>
      <c r="IPZ18"/>
      <c r="IQA18" s="10"/>
      <c r="IQB18" s="2"/>
      <c r="IQC18"/>
      <c r="IQD18" s="5"/>
      <c r="IQE18" s="2"/>
      <c r="IQF18" s="7"/>
      <c r="IQG18"/>
      <c r="IQH18"/>
      <c r="IQI18" s="10"/>
      <c r="IQJ18" s="2"/>
      <c r="IQK18"/>
      <c r="IQL18" s="5"/>
      <c r="IQM18" s="2"/>
      <c r="IQN18" s="7"/>
      <c r="IQO18"/>
      <c r="IQP18"/>
      <c r="IQQ18" s="10"/>
      <c r="IQR18" s="2"/>
      <c r="IQS18"/>
      <c r="IQT18" s="5"/>
      <c r="IQU18" s="2"/>
      <c r="IQV18" s="7"/>
      <c r="IQW18"/>
      <c r="IQX18"/>
      <c r="IQY18" s="10"/>
      <c r="IQZ18" s="2"/>
      <c r="IRA18"/>
      <c r="IRB18" s="5"/>
      <c r="IRC18" s="2"/>
      <c r="IRD18" s="7"/>
      <c r="IRE18"/>
      <c r="IRF18"/>
      <c r="IRG18" s="10"/>
      <c r="IRH18" s="2"/>
      <c r="IRI18"/>
      <c r="IRJ18" s="5"/>
      <c r="IRK18" s="2"/>
      <c r="IRL18" s="7"/>
      <c r="IRM18"/>
      <c r="IRN18"/>
      <c r="IRO18" s="10"/>
      <c r="IRP18" s="2"/>
      <c r="IRQ18"/>
      <c r="IRR18" s="5"/>
      <c r="IRS18" s="2"/>
      <c r="IRT18" s="7"/>
      <c r="IRU18"/>
      <c r="IRV18"/>
      <c r="IRW18" s="10"/>
      <c r="IRX18" s="2"/>
      <c r="IRY18"/>
      <c r="IRZ18" s="5"/>
      <c r="ISA18" s="2"/>
      <c r="ISB18" s="7"/>
      <c r="ISC18"/>
      <c r="ISD18"/>
      <c r="ISE18" s="10"/>
      <c r="ISF18" s="2"/>
      <c r="ISG18"/>
      <c r="ISH18" s="5"/>
      <c r="ISI18" s="2"/>
      <c r="ISJ18" s="7"/>
      <c r="ISK18"/>
      <c r="ISL18"/>
      <c r="ISM18" s="10"/>
      <c r="ISN18" s="2"/>
      <c r="ISO18"/>
      <c r="ISP18" s="5"/>
      <c r="ISQ18" s="2"/>
      <c r="ISR18" s="7"/>
      <c r="ISS18"/>
      <c r="IST18"/>
      <c r="ISU18" s="10"/>
      <c r="ISV18" s="2"/>
      <c r="ISW18"/>
      <c r="ISX18" s="5"/>
      <c r="ISY18" s="2"/>
      <c r="ISZ18" s="7"/>
      <c r="ITA18"/>
      <c r="ITB18"/>
      <c r="ITC18" s="10"/>
      <c r="ITD18" s="2"/>
      <c r="ITE18"/>
      <c r="ITF18" s="5"/>
      <c r="ITG18" s="2"/>
      <c r="ITH18" s="7"/>
      <c r="ITI18"/>
      <c r="ITJ18"/>
      <c r="ITK18" s="10"/>
      <c r="ITL18" s="2"/>
      <c r="ITM18"/>
      <c r="ITN18" s="5"/>
      <c r="ITO18" s="2"/>
      <c r="ITP18" s="7"/>
      <c r="ITQ18"/>
      <c r="ITR18"/>
      <c r="ITS18" s="10"/>
      <c r="ITT18" s="2"/>
      <c r="ITU18"/>
      <c r="ITV18" s="5"/>
      <c r="ITW18" s="2"/>
      <c r="ITX18" s="7"/>
      <c r="ITY18"/>
      <c r="ITZ18"/>
      <c r="IUA18" s="10"/>
      <c r="IUB18" s="2"/>
      <c r="IUC18"/>
      <c r="IUD18" s="5"/>
      <c r="IUE18" s="2"/>
      <c r="IUF18" s="7"/>
      <c r="IUG18"/>
      <c r="IUH18"/>
      <c r="IUI18" s="10"/>
      <c r="IUJ18" s="2"/>
      <c r="IUK18"/>
      <c r="IUL18" s="5"/>
      <c r="IUM18" s="2"/>
      <c r="IUN18" s="7"/>
      <c r="IUO18"/>
      <c r="IUP18"/>
      <c r="IUQ18" s="10"/>
      <c r="IUR18" s="2"/>
      <c r="IUS18"/>
      <c r="IUT18" s="5"/>
      <c r="IUU18" s="2"/>
      <c r="IUV18" s="7"/>
      <c r="IUW18"/>
      <c r="IUX18"/>
      <c r="IUY18" s="10"/>
      <c r="IUZ18" s="2"/>
      <c r="IVA18"/>
      <c r="IVB18" s="5"/>
      <c r="IVC18" s="2"/>
      <c r="IVD18" s="7"/>
      <c r="IVE18"/>
      <c r="IVF18"/>
      <c r="IVG18" s="10"/>
      <c r="IVH18" s="2"/>
      <c r="IVI18"/>
      <c r="IVJ18" s="5"/>
      <c r="IVK18" s="2"/>
      <c r="IVL18" s="7"/>
      <c r="IVM18"/>
      <c r="IVN18"/>
      <c r="IVO18" s="10"/>
      <c r="IVP18" s="2"/>
      <c r="IVQ18"/>
      <c r="IVR18" s="5"/>
      <c r="IVS18" s="2"/>
      <c r="IVT18" s="7"/>
      <c r="IVU18"/>
      <c r="IVV18"/>
      <c r="IVW18" s="10"/>
      <c r="IVX18" s="2"/>
      <c r="IVY18"/>
      <c r="IVZ18" s="5"/>
      <c r="IWA18" s="2"/>
      <c r="IWB18" s="7"/>
      <c r="IWC18"/>
      <c r="IWD18"/>
      <c r="IWE18" s="10"/>
      <c r="IWF18" s="2"/>
      <c r="IWG18"/>
      <c r="IWH18" s="5"/>
      <c r="IWI18" s="2"/>
      <c r="IWJ18" s="7"/>
      <c r="IWK18"/>
      <c r="IWL18"/>
      <c r="IWM18" s="10"/>
      <c r="IWN18" s="2"/>
      <c r="IWO18"/>
      <c r="IWP18" s="5"/>
      <c r="IWQ18" s="2"/>
      <c r="IWR18" s="7"/>
      <c r="IWS18"/>
      <c r="IWT18"/>
      <c r="IWU18" s="10"/>
      <c r="IWV18" s="2"/>
      <c r="IWW18"/>
      <c r="IWX18" s="5"/>
      <c r="IWY18" s="2"/>
      <c r="IWZ18" s="7"/>
      <c r="IXA18"/>
      <c r="IXB18"/>
      <c r="IXC18" s="10"/>
      <c r="IXD18" s="2"/>
      <c r="IXE18"/>
      <c r="IXF18" s="5"/>
      <c r="IXG18" s="2"/>
      <c r="IXH18" s="7"/>
      <c r="IXI18"/>
      <c r="IXJ18"/>
      <c r="IXK18" s="10"/>
      <c r="IXL18" s="2"/>
      <c r="IXM18"/>
      <c r="IXN18" s="5"/>
      <c r="IXO18" s="2"/>
      <c r="IXP18" s="7"/>
      <c r="IXQ18"/>
      <c r="IXR18"/>
      <c r="IXS18" s="10"/>
      <c r="IXT18" s="2"/>
      <c r="IXU18"/>
      <c r="IXV18" s="5"/>
      <c r="IXW18" s="2"/>
      <c r="IXX18" s="7"/>
      <c r="IXY18"/>
      <c r="IXZ18"/>
      <c r="IYA18" s="10"/>
      <c r="IYB18" s="2"/>
      <c r="IYC18"/>
      <c r="IYD18" s="5"/>
      <c r="IYE18" s="2"/>
      <c r="IYF18" s="7"/>
      <c r="IYG18"/>
      <c r="IYH18"/>
      <c r="IYI18" s="10"/>
      <c r="IYJ18" s="2"/>
      <c r="IYK18"/>
      <c r="IYL18" s="5"/>
      <c r="IYM18" s="2"/>
      <c r="IYN18" s="7"/>
      <c r="IYO18"/>
      <c r="IYP18"/>
      <c r="IYQ18" s="10"/>
      <c r="IYR18" s="2"/>
      <c r="IYS18"/>
      <c r="IYT18" s="5"/>
      <c r="IYU18" s="2"/>
      <c r="IYV18" s="7"/>
      <c r="IYW18"/>
      <c r="IYX18"/>
      <c r="IYY18" s="10"/>
      <c r="IYZ18" s="2"/>
      <c r="IZA18"/>
      <c r="IZB18" s="5"/>
      <c r="IZC18" s="2"/>
      <c r="IZD18" s="7"/>
      <c r="IZE18"/>
      <c r="IZF18"/>
      <c r="IZG18" s="10"/>
      <c r="IZH18" s="2"/>
      <c r="IZI18"/>
      <c r="IZJ18" s="5"/>
      <c r="IZK18" s="2"/>
      <c r="IZL18" s="7"/>
      <c r="IZM18"/>
      <c r="IZN18"/>
      <c r="IZO18" s="10"/>
      <c r="IZP18" s="2"/>
      <c r="IZQ18"/>
      <c r="IZR18" s="5"/>
      <c r="IZS18" s="2"/>
      <c r="IZT18" s="7"/>
      <c r="IZU18"/>
      <c r="IZV18"/>
      <c r="IZW18" s="10"/>
      <c r="IZX18" s="2"/>
      <c r="IZY18"/>
      <c r="IZZ18" s="5"/>
      <c r="JAA18" s="2"/>
      <c r="JAB18" s="7"/>
      <c r="JAC18"/>
      <c r="JAD18"/>
      <c r="JAE18" s="10"/>
      <c r="JAF18" s="2"/>
      <c r="JAG18"/>
      <c r="JAH18" s="5"/>
      <c r="JAI18" s="2"/>
      <c r="JAJ18" s="7"/>
      <c r="JAK18"/>
      <c r="JAL18"/>
      <c r="JAM18" s="10"/>
      <c r="JAN18" s="2"/>
      <c r="JAO18"/>
      <c r="JAP18" s="5"/>
      <c r="JAQ18" s="2"/>
      <c r="JAR18" s="7"/>
      <c r="JAS18"/>
      <c r="JAT18"/>
      <c r="JAU18" s="10"/>
      <c r="JAV18" s="2"/>
      <c r="JAW18"/>
      <c r="JAX18" s="5"/>
      <c r="JAY18" s="2"/>
      <c r="JAZ18" s="7"/>
      <c r="JBA18"/>
      <c r="JBB18"/>
      <c r="JBC18" s="10"/>
      <c r="JBD18" s="2"/>
      <c r="JBE18"/>
      <c r="JBF18" s="5"/>
      <c r="JBG18" s="2"/>
      <c r="JBH18" s="7"/>
      <c r="JBI18"/>
      <c r="JBJ18"/>
      <c r="JBK18" s="10"/>
      <c r="JBL18" s="2"/>
      <c r="JBM18"/>
      <c r="JBN18" s="5"/>
      <c r="JBO18" s="2"/>
      <c r="JBP18" s="7"/>
      <c r="JBQ18"/>
      <c r="JBR18"/>
      <c r="JBS18" s="10"/>
      <c r="JBT18" s="2"/>
      <c r="JBU18"/>
      <c r="JBV18" s="5"/>
      <c r="JBW18" s="2"/>
      <c r="JBX18" s="7"/>
      <c r="JBY18"/>
      <c r="JBZ18"/>
      <c r="JCA18" s="10"/>
      <c r="JCB18" s="2"/>
      <c r="JCC18"/>
      <c r="JCD18" s="5"/>
      <c r="JCE18" s="2"/>
      <c r="JCF18" s="7"/>
      <c r="JCG18"/>
      <c r="JCH18"/>
      <c r="JCI18" s="10"/>
      <c r="JCJ18" s="2"/>
      <c r="JCK18"/>
      <c r="JCL18" s="5"/>
      <c r="JCM18" s="2"/>
      <c r="JCN18" s="7"/>
      <c r="JCO18"/>
      <c r="JCP18"/>
      <c r="JCQ18" s="10"/>
      <c r="JCR18" s="2"/>
      <c r="JCS18"/>
      <c r="JCT18" s="5"/>
      <c r="JCU18" s="2"/>
      <c r="JCV18" s="7"/>
      <c r="JCW18"/>
      <c r="JCX18"/>
      <c r="JCY18" s="10"/>
      <c r="JCZ18" s="2"/>
      <c r="JDA18"/>
      <c r="JDB18" s="5"/>
      <c r="JDC18" s="2"/>
      <c r="JDD18" s="7"/>
      <c r="JDE18"/>
      <c r="JDF18"/>
      <c r="JDG18" s="10"/>
      <c r="JDH18" s="2"/>
      <c r="JDI18"/>
      <c r="JDJ18" s="5"/>
      <c r="JDK18" s="2"/>
      <c r="JDL18" s="7"/>
      <c r="JDM18"/>
      <c r="JDN18"/>
      <c r="JDO18" s="10"/>
      <c r="JDP18" s="2"/>
      <c r="JDQ18"/>
      <c r="JDR18" s="5"/>
      <c r="JDS18" s="2"/>
      <c r="JDT18" s="7"/>
      <c r="JDU18"/>
      <c r="JDV18"/>
      <c r="JDW18" s="10"/>
      <c r="JDX18" s="2"/>
      <c r="JDY18"/>
      <c r="JDZ18" s="5"/>
      <c r="JEA18" s="2"/>
      <c r="JEB18" s="7"/>
      <c r="JEC18"/>
      <c r="JED18"/>
      <c r="JEE18" s="10"/>
      <c r="JEF18" s="2"/>
      <c r="JEG18"/>
      <c r="JEH18" s="5"/>
      <c r="JEI18" s="2"/>
      <c r="JEJ18" s="7"/>
      <c r="JEK18"/>
      <c r="JEL18"/>
      <c r="JEM18" s="10"/>
      <c r="JEN18" s="2"/>
      <c r="JEO18"/>
      <c r="JEP18" s="5"/>
      <c r="JEQ18" s="2"/>
      <c r="JER18" s="7"/>
      <c r="JES18"/>
      <c r="JET18"/>
      <c r="JEU18" s="10"/>
      <c r="JEV18" s="2"/>
      <c r="JEW18"/>
      <c r="JEX18" s="5"/>
      <c r="JEY18" s="2"/>
      <c r="JEZ18" s="7"/>
      <c r="JFA18"/>
      <c r="JFB18"/>
      <c r="JFC18" s="10"/>
      <c r="JFD18" s="2"/>
      <c r="JFE18"/>
      <c r="JFF18" s="5"/>
      <c r="JFG18" s="2"/>
      <c r="JFH18" s="7"/>
      <c r="JFI18"/>
      <c r="JFJ18"/>
      <c r="JFK18" s="10"/>
      <c r="JFL18" s="2"/>
      <c r="JFM18"/>
      <c r="JFN18" s="5"/>
      <c r="JFO18" s="2"/>
      <c r="JFP18" s="7"/>
      <c r="JFQ18"/>
      <c r="JFR18"/>
      <c r="JFS18" s="10"/>
      <c r="JFT18" s="2"/>
      <c r="JFU18"/>
      <c r="JFV18" s="5"/>
      <c r="JFW18" s="2"/>
      <c r="JFX18" s="7"/>
      <c r="JFY18"/>
      <c r="JFZ18"/>
      <c r="JGA18" s="10"/>
      <c r="JGB18" s="2"/>
      <c r="JGC18"/>
      <c r="JGD18" s="5"/>
      <c r="JGE18" s="2"/>
      <c r="JGF18" s="7"/>
      <c r="JGG18"/>
      <c r="JGH18"/>
      <c r="JGI18" s="10"/>
      <c r="JGJ18" s="2"/>
      <c r="JGK18"/>
      <c r="JGL18" s="5"/>
      <c r="JGM18" s="2"/>
      <c r="JGN18" s="7"/>
      <c r="JGO18"/>
      <c r="JGP18"/>
      <c r="JGQ18" s="10"/>
      <c r="JGR18" s="2"/>
      <c r="JGS18"/>
      <c r="JGT18" s="5"/>
      <c r="JGU18" s="2"/>
      <c r="JGV18" s="7"/>
      <c r="JGW18"/>
      <c r="JGX18"/>
      <c r="JGY18" s="10"/>
      <c r="JGZ18" s="2"/>
      <c r="JHA18"/>
      <c r="JHB18" s="5"/>
      <c r="JHC18" s="2"/>
      <c r="JHD18" s="7"/>
      <c r="JHE18"/>
      <c r="JHF18"/>
      <c r="JHG18" s="10"/>
      <c r="JHH18" s="2"/>
      <c r="JHI18"/>
      <c r="JHJ18" s="5"/>
      <c r="JHK18" s="2"/>
      <c r="JHL18" s="7"/>
      <c r="JHM18"/>
      <c r="JHN18"/>
      <c r="JHO18" s="10"/>
      <c r="JHP18" s="2"/>
      <c r="JHQ18"/>
      <c r="JHR18" s="5"/>
      <c r="JHS18" s="2"/>
      <c r="JHT18" s="7"/>
      <c r="JHU18"/>
      <c r="JHV18"/>
      <c r="JHW18" s="10"/>
      <c r="JHX18" s="2"/>
      <c r="JHY18"/>
      <c r="JHZ18" s="5"/>
      <c r="JIA18" s="2"/>
      <c r="JIB18" s="7"/>
      <c r="JIC18"/>
      <c r="JID18"/>
      <c r="JIE18" s="10"/>
      <c r="JIF18" s="2"/>
      <c r="JIG18"/>
      <c r="JIH18" s="5"/>
      <c r="JII18" s="2"/>
      <c r="JIJ18" s="7"/>
      <c r="JIK18"/>
      <c r="JIL18"/>
      <c r="JIM18" s="10"/>
      <c r="JIN18" s="2"/>
      <c r="JIO18"/>
      <c r="JIP18" s="5"/>
      <c r="JIQ18" s="2"/>
      <c r="JIR18" s="7"/>
      <c r="JIS18"/>
      <c r="JIT18"/>
      <c r="JIU18" s="10"/>
      <c r="JIV18" s="2"/>
      <c r="JIW18"/>
      <c r="JIX18" s="5"/>
      <c r="JIY18" s="2"/>
      <c r="JIZ18" s="7"/>
      <c r="JJA18"/>
      <c r="JJB18"/>
      <c r="JJC18" s="10"/>
      <c r="JJD18" s="2"/>
      <c r="JJE18"/>
      <c r="JJF18" s="5"/>
      <c r="JJG18" s="2"/>
      <c r="JJH18" s="7"/>
      <c r="JJI18"/>
      <c r="JJJ18"/>
      <c r="JJK18" s="10"/>
      <c r="JJL18" s="2"/>
      <c r="JJM18"/>
      <c r="JJN18" s="5"/>
      <c r="JJO18" s="2"/>
      <c r="JJP18" s="7"/>
      <c r="JJQ18"/>
      <c r="JJR18"/>
      <c r="JJS18" s="10"/>
      <c r="JJT18" s="2"/>
      <c r="JJU18"/>
      <c r="JJV18" s="5"/>
      <c r="JJW18" s="2"/>
      <c r="JJX18" s="7"/>
      <c r="JJY18"/>
      <c r="JJZ18"/>
      <c r="JKA18" s="10"/>
      <c r="JKB18" s="2"/>
      <c r="JKC18"/>
      <c r="JKD18" s="5"/>
      <c r="JKE18" s="2"/>
      <c r="JKF18" s="7"/>
      <c r="JKG18"/>
      <c r="JKH18"/>
      <c r="JKI18" s="10"/>
      <c r="JKJ18" s="2"/>
      <c r="JKK18"/>
      <c r="JKL18" s="5"/>
      <c r="JKM18" s="2"/>
      <c r="JKN18" s="7"/>
      <c r="JKO18"/>
      <c r="JKP18"/>
      <c r="JKQ18" s="10"/>
      <c r="JKR18" s="2"/>
      <c r="JKS18"/>
      <c r="JKT18" s="5"/>
      <c r="JKU18" s="2"/>
      <c r="JKV18" s="7"/>
      <c r="JKW18"/>
      <c r="JKX18"/>
      <c r="JKY18" s="10"/>
      <c r="JKZ18" s="2"/>
      <c r="JLA18"/>
      <c r="JLB18" s="5"/>
      <c r="JLC18" s="2"/>
      <c r="JLD18" s="7"/>
      <c r="JLE18"/>
      <c r="JLF18"/>
      <c r="JLG18" s="10"/>
      <c r="JLH18" s="2"/>
      <c r="JLI18"/>
      <c r="JLJ18" s="5"/>
      <c r="JLK18" s="2"/>
      <c r="JLL18" s="7"/>
      <c r="JLM18"/>
      <c r="JLN18"/>
      <c r="JLO18" s="10"/>
      <c r="JLP18" s="2"/>
      <c r="JLQ18"/>
      <c r="JLR18" s="5"/>
      <c r="JLS18" s="2"/>
      <c r="JLT18" s="7"/>
      <c r="JLU18"/>
      <c r="JLV18"/>
      <c r="JLW18" s="10"/>
      <c r="JLX18" s="2"/>
      <c r="JLY18"/>
      <c r="JLZ18" s="5"/>
      <c r="JMA18" s="2"/>
      <c r="JMB18" s="7"/>
      <c r="JMC18"/>
      <c r="JMD18"/>
      <c r="JME18" s="10"/>
      <c r="JMF18" s="2"/>
      <c r="JMG18"/>
      <c r="JMH18" s="5"/>
      <c r="JMI18" s="2"/>
      <c r="JMJ18" s="7"/>
      <c r="JMK18"/>
      <c r="JML18"/>
      <c r="JMM18" s="10"/>
      <c r="JMN18" s="2"/>
      <c r="JMO18"/>
      <c r="JMP18" s="5"/>
      <c r="JMQ18" s="2"/>
      <c r="JMR18" s="7"/>
      <c r="JMS18"/>
      <c r="JMT18"/>
      <c r="JMU18" s="10"/>
      <c r="JMV18" s="2"/>
      <c r="JMW18"/>
      <c r="JMX18" s="5"/>
      <c r="JMY18" s="2"/>
      <c r="JMZ18" s="7"/>
      <c r="JNA18"/>
      <c r="JNB18"/>
      <c r="JNC18" s="10"/>
      <c r="JND18" s="2"/>
      <c r="JNE18"/>
      <c r="JNF18" s="5"/>
      <c r="JNG18" s="2"/>
      <c r="JNH18" s="7"/>
      <c r="JNI18"/>
      <c r="JNJ18"/>
      <c r="JNK18" s="10"/>
      <c r="JNL18" s="2"/>
      <c r="JNM18"/>
      <c r="JNN18" s="5"/>
      <c r="JNO18" s="2"/>
      <c r="JNP18" s="7"/>
      <c r="JNQ18"/>
      <c r="JNR18"/>
      <c r="JNS18" s="10"/>
      <c r="JNT18" s="2"/>
      <c r="JNU18"/>
      <c r="JNV18" s="5"/>
      <c r="JNW18" s="2"/>
      <c r="JNX18" s="7"/>
      <c r="JNY18"/>
      <c r="JNZ18"/>
      <c r="JOA18" s="10"/>
      <c r="JOB18" s="2"/>
      <c r="JOC18"/>
      <c r="JOD18" s="5"/>
      <c r="JOE18" s="2"/>
      <c r="JOF18" s="7"/>
      <c r="JOG18"/>
      <c r="JOH18"/>
      <c r="JOI18" s="10"/>
      <c r="JOJ18" s="2"/>
      <c r="JOK18"/>
      <c r="JOL18" s="5"/>
      <c r="JOM18" s="2"/>
      <c r="JON18" s="7"/>
      <c r="JOO18"/>
      <c r="JOP18"/>
      <c r="JOQ18" s="10"/>
      <c r="JOR18" s="2"/>
      <c r="JOS18"/>
      <c r="JOT18" s="5"/>
      <c r="JOU18" s="2"/>
      <c r="JOV18" s="7"/>
      <c r="JOW18"/>
      <c r="JOX18"/>
      <c r="JOY18" s="10"/>
      <c r="JOZ18" s="2"/>
      <c r="JPA18"/>
      <c r="JPB18" s="5"/>
      <c r="JPC18" s="2"/>
      <c r="JPD18" s="7"/>
      <c r="JPE18"/>
      <c r="JPF18"/>
      <c r="JPG18" s="10"/>
      <c r="JPH18" s="2"/>
      <c r="JPI18"/>
      <c r="JPJ18" s="5"/>
      <c r="JPK18" s="2"/>
      <c r="JPL18" s="7"/>
      <c r="JPM18"/>
      <c r="JPN18"/>
      <c r="JPO18" s="10"/>
      <c r="JPP18" s="2"/>
      <c r="JPQ18"/>
      <c r="JPR18" s="5"/>
      <c r="JPS18" s="2"/>
      <c r="JPT18" s="7"/>
      <c r="JPU18"/>
      <c r="JPV18"/>
      <c r="JPW18" s="10"/>
      <c r="JPX18" s="2"/>
      <c r="JPY18"/>
      <c r="JPZ18" s="5"/>
      <c r="JQA18" s="2"/>
      <c r="JQB18" s="7"/>
      <c r="JQC18"/>
      <c r="JQD18"/>
      <c r="JQE18" s="10"/>
      <c r="JQF18" s="2"/>
      <c r="JQG18"/>
      <c r="JQH18" s="5"/>
      <c r="JQI18" s="2"/>
      <c r="JQJ18" s="7"/>
      <c r="JQK18"/>
      <c r="JQL18"/>
      <c r="JQM18" s="10"/>
      <c r="JQN18" s="2"/>
      <c r="JQO18"/>
      <c r="JQP18" s="5"/>
      <c r="JQQ18" s="2"/>
      <c r="JQR18" s="7"/>
      <c r="JQS18"/>
      <c r="JQT18"/>
      <c r="JQU18" s="10"/>
      <c r="JQV18" s="2"/>
      <c r="JQW18"/>
      <c r="JQX18" s="5"/>
      <c r="JQY18" s="2"/>
      <c r="JQZ18" s="7"/>
      <c r="JRA18"/>
      <c r="JRB18"/>
      <c r="JRC18" s="10"/>
      <c r="JRD18" s="2"/>
      <c r="JRE18"/>
      <c r="JRF18" s="5"/>
      <c r="JRG18" s="2"/>
      <c r="JRH18" s="7"/>
      <c r="JRI18"/>
      <c r="JRJ18"/>
      <c r="JRK18" s="10"/>
      <c r="JRL18" s="2"/>
      <c r="JRM18"/>
      <c r="JRN18" s="5"/>
      <c r="JRO18" s="2"/>
      <c r="JRP18" s="7"/>
      <c r="JRQ18"/>
      <c r="JRR18"/>
      <c r="JRS18" s="10"/>
      <c r="JRT18" s="2"/>
      <c r="JRU18"/>
      <c r="JRV18" s="5"/>
      <c r="JRW18" s="2"/>
      <c r="JRX18" s="7"/>
      <c r="JRY18"/>
      <c r="JRZ18"/>
      <c r="JSA18" s="10"/>
      <c r="JSB18" s="2"/>
      <c r="JSC18"/>
      <c r="JSD18" s="5"/>
      <c r="JSE18" s="2"/>
      <c r="JSF18" s="7"/>
      <c r="JSG18"/>
      <c r="JSH18"/>
      <c r="JSI18" s="10"/>
      <c r="JSJ18" s="2"/>
      <c r="JSK18"/>
      <c r="JSL18" s="5"/>
      <c r="JSM18" s="2"/>
      <c r="JSN18" s="7"/>
      <c r="JSO18"/>
      <c r="JSP18"/>
      <c r="JSQ18" s="10"/>
      <c r="JSR18" s="2"/>
      <c r="JSS18"/>
      <c r="JST18" s="5"/>
      <c r="JSU18" s="2"/>
      <c r="JSV18" s="7"/>
      <c r="JSW18"/>
      <c r="JSX18"/>
      <c r="JSY18" s="10"/>
      <c r="JSZ18" s="2"/>
      <c r="JTA18"/>
      <c r="JTB18" s="5"/>
      <c r="JTC18" s="2"/>
      <c r="JTD18" s="7"/>
      <c r="JTE18"/>
      <c r="JTF18"/>
      <c r="JTG18" s="10"/>
      <c r="JTH18" s="2"/>
      <c r="JTI18"/>
      <c r="JTJ18" s="5"/>
      <c r="JTK18" s="2"/>
      <c r="JTL18" s="7"/>
      <c r="JTM18"/>
      <c r="JTN18"/>
      <c r="JTO18" s="10"/>
      <c r="JTP18" s="2"/>
      <c r="JTQ18"/>
      <c r="JTR18" s="5"/>
      <c r="JTS18" s="2"/>
      <c r="JTT18" s="7"/>
      <c r="JTU18"/>
      <c r="JTV18"/>
      <c r="JTW18" s="10"/>
      <c r="JTX18" s="2"/>
      <c r="JTY18"/>
      <c r="JTZ18" s="5"/>
      <c r="JUA18" s="2"/>
      <c r="JUB18" s="7"/>
      <c r="JUC18"/>
      <c r="JUD18"/>
      <c r="JUE18" s="10"/>
      <c r="JUF18" s="2"/>
      <c r="JUG18"/>
      <c r="JUH18" s="5"/>
      <c r="JUI18" s="2"/>
      <c r="JUJ18" s="7"/>
      <c r="JUK18"/>
      <c r="JUL18"/>
      <c r="JUM18" s="10"/>
      <c r="JUN18" s="2"/>
      <c r="JUO18"/>
      <c r="JUP18" s="5"/>
      <c r="JUQ18" s="2"/>
      <c r="JUR18" s="7"/>
      <c r="JUS18"/>
      <c r="JUT18"/>
      <c r="JUU18" s="10"/>
      <c r="JUV18" s="2"/>
      <c r="JUW18"/>
      <c r="JUX18" s="5"/>
      <c r="JUY18" s="2"/>
      <c r="JUZ18" s="7"/>
      <c r="JVA18"/>
      <c r="JVB18"/>
      <c r="JVC18" s="10"/>
      <c r="JVD18" s="2"/>
      <c r="JVE18"/>
      <c r="JVF18" s="5"/>
      <c r="JVG18" s="2"/>
      <c r="JVH18" s="7"/>
      <c r="JVI18"/>
      <c r="JVJ18"/>
      <c r="JVK18" s="10"/>
      <c r="JVL18" s="2"/>
      <c r="JVM18"/>
      <c r="JVN18" s="5"/>
      <c r="JVO18" s="2"/>
      <c r="JVP18" s="7"/>
      <c r="JVQ18"/>
      <c r="JVR18"/>
      <c r="JVS18" s="10"/>
      <c r="JVT18" s="2"/>
      <c r="JVU18"/>
      <c r="JVV18" s="5"/>
      <c r="JVW18" s="2"/>
      <c r="JVX18" s="7"/>
      <c r="JVY18"/>
      <c r="JVZ18"/>
      <c r="JWA18" s="10"/>
      <c r="JWB18" s="2"/>
      <c r="JWC18"/>
      <c r="JWD18" s="5"/>
      <c r="JWE18" s="2"/>
      <c r="JWF18" s="7"/>
      <c r="JWG18"/>
      <c r="JWH18"/>
      <c r="JWI18" s="10"/>
      <c r="JWJ18" s="2"/>
      <c r="JWK18"/>
      <c r="JWL18" s="5"/>
      <c r="JWM18" s="2"/>
      <c r="JWN18" s="7"/>
      <c r="JWO18"/>
      <c r="JWP18"/>
      <c r="JWQ18" s="10"/>
      <c r="JWR18" s="2"/>
      <c r="JWS18"/>
      <c r="JWT18" s="5"/>
      <c r="JWU18" s="2"/>
      <c r="JWV18" s="7"/>
      <c r="JWW18"/>
      <c r="JWX18"/>
      <c r="JWY18" s="10"/>
      <c r="JWZ18" s="2"/>
      <c r="JXA18"/>
      <c r="JXB18" s="5"/>
      <c r="JXC18" s="2"/>
      <c r="JXD18" s="7"/>
      <c r="JXE18"/>
      <c r="JXF18"/>
      <c r="JXG18" s="10"/>
      <c r="JXH18" s="2"/>
      <c r="JXI18"/>
      <c r="JXJ18" s="5"/>
      <c r="JXK18" s="2"/>
      <c r="JXL18" s="7"/>
      <c r="JXM18"/>
      <c r="JXN18"/>
      <c r="JXO18" s="10"/>
      <c r="JXP18" s="2"/>
      <c r="JXQ18"/>
      <c r="JXR18" s="5"/>
      <c r="JXS18" s="2"/>
      <c r="JXT18" s="7"/>
      <c r="JXU18"/>
      <c r="JXV18"/>
      <c r="JXW18" s="10"/>
      <c r="JXX18" s="2"/>
      <c r="JXY18"/>
      <c r="JXZ18" s="5"/>
      <c r="JYA18" s="2"/>
      <c r="JYB18" s="7"/>
      <c r="JYC18"/>
      <c r="JYD18"/>
      <c r="JYE18" s="10"/>
      <c r="JYF18" s="2"/>
      <c r="JYG18"/>
      <c r="JYH18" s="5"/>
      <c r="JYI18" s="2"/>
      <c r="JYJ18" s="7"/>
      <c r="JYK18"/>
      <c r="JYL18"/>
      <c r="JYM18" s="10"/>
      <c r="JYN18" s="2"/>
      <c r="JYO18"/>
      <c r="JYP18" s="5"/>
      <c r="JYQ18" s="2"/>
      <c r="JYR18" s="7"/>
      <c r="JYS18"/>
      <c r="JYT18"/>
      <c r="JYU18" s="10"/>
      <c r="JYV18" s="2"/>
      <c r="JYW18"/>
      <c r="JYX18" s="5"/>
      <c r="JYY18" s="2"/>
      <c r="JYZ18" s="7"/>
      <c r="JZA18"/>
      <c r="JZB18"/>
      <c r="JZC18" s="10"/>
      <c r="JZD18" s="2"/>
      <c r="JZE18"/>
      <c r="JZF18" s="5"/>
      <c r="JZG18" s="2"/>
      <c r="JZH18" s="7"/>
      <c r="JZI18"/>
      <c r="JZJ18"/>
      <c r="JZK18" s="10"/>
      <c r="JZL18" s="2"/>
      <c r="JZM18"/>
      <c r="JZN18" s="5"/>
      <c r="JZO18" s="2"/>
      <c r="JZP18" s="7"/>
      <c r="JZQ18"/>
      <c r="JZR18"/>
      <c r="JZS18" s="10"/>
      <c r="JZT18" s="2"/>
      <c r="JZU18"/>
      <c r="JZV18" s="5"/>
      <c r="JZW18" s="2"/>
      <c r="JZX18" s="7"/>
      <c r="JZY18"/>
      <c r="JZZ18"/>
      <c r="KAA18" s="10"/>
      <c r="KAB18" s="2"/>
      <c r="KAC18"/>
      <c r="KAD18" s="5"/>
      <c r="KAE18" s="2"/>
      <c r="KAF18" s="7"/>
      <c r="KAG18"/>
      <c r="KAH18"/>
      <c r="KAI18" s="10"/>
      <c r="KAJ18" s="2"/>
      <c r="KAK18"/>
      <c r="KAL18" s="5"/>
      <c r="KAM18" s="2"/>
      <c r="KAN18" s="7"/>
      <c r="KAO18"/>
      <c r="KAP18"/>
      <c r="KAQ18" s="10"/>
      <c r="KAR18" s="2"/>
      <c r="KAS18"/>
      <c r="KAT18" s="5"/>
      <c r="KAU18" s="2"/>
      <c r="KAV18" s="7"/>
      <c r="KAW18"/>
      <c r="KAX18"/>
      <c r="KAY18" s="10"/>
      <c r="KAZ18" s="2"/>
      <c r="KBA18"/>
      <c r="KBB18" s="5"/>
      <c r="KBC18" s="2"/>
      <c r="KBD18" s="7"/>
      <c r="KBE18"/>
      <c r="KBF18"/>
      <c r="KBG18" s="10"/>
      <c r="KBH18" s="2"/>
      <c r="KBI18"/>
      <c r="KBJ18" s="5"/>
      <c r="KBK18" s="2"/>
      <c r="KBL18" s="7"/>
      <c r="KBM18"/>
      <c r="KBN18"/>
      <c r="KBO18" s="10"/>
      <c r="KBP18" s="2"/>
      <c r="KBQ18"/>
      <c r="KBR18" s="5"/>
      <c r="KBS18" s="2"/>
      <c r="KBT18" s="7"/>
      <c r="KBU18"/>
      <c r="KBV18"/>
      <c r="KBW18" s="10"/>
      <c r="KBX18" s="2"/>
      <c r="KBY18"/>
      <c r="KBZ18" s="5"/>
      <c r="KCA18" s="2"/>
      <c r="KCB18" s="7"/>
      <c r="KCC18"/>
      <c r="KCD18"/>
      <c r="KCE18" s="10"/>
      <c r="KCF18" s="2"/>
      <c r="KCG18"/>
      <c r="KCH18" s="5"/>
      <c r="KCI18" s="2"/>
      <c r="KCJ18" s="7"/>
      <c r="KCK18"/>
      <c r="KCL18"/>
      <c r="KCM18" s="10"/>
      <c r="KCN18" s="2"/>
      <c r="KCO18"/>
      <c r="KCP18" s="5"/>
      <c r="KCQ18" s="2"/>
      <c r="KCR18" s="7"/>
      <c r="KCS18"/>
      <c r="KCT18"/>
      <c r="KCU18" s="10"/>
      <c r="KCV18" s="2"/>
      <c r="KCW18"/>
      <c r="KCX18" s="5"/>
      <c r="KCY18" s="2"/>
      <c r="KCZ18" s="7"/>
      <c r="KDA18"/>
      <c r="KDB18"/>
      <c r="KDC18" s="10"/>
      <c r="KDD18" s="2"/>
      <c r="KDE18"/>
      <c r="KDF18" s="5"/>
      <c r="KDG18" s="2"/>
      <c r="KDH18" s="7"/>
      <c r="KDI18"/>
      <c r="KDJ18"/>
      <c r="KDK18" s="10"/>
      <c r="KDL18" s="2"/>
      <c r="KDM18"/>
      <c r="KDN18" s="5"/>
      <c r="KDO18" s="2"/>
      <c r="KDP18" s="7"/>
      <c r="KDQ18"/>
      <c r="KDR18"/>
      <c r="KDS18" s="10"/>
      <c r="KDT18" s="2"/>
      <c r="KDU18"/>
      <c r="KDV18" s="5"/>
      <c r="KDW18" s="2"/>
      <c r="KDX18" s="7"/>
      <c r="KDY18"/>
      <c r="KDZ18"/>
      <c r="KEA18" s="10"/>
      <c r="KEB18" s="2"/>
      <c r="KEC18"/>
      <c r="KED18" s="5"/>
      <c r="KEE18" s="2"/>
      <c r="KEF18" s="7"/>
      <c r="KEG18"/>
      <c r="KEH18"/>
      <c r="KEI18" s="10"/>
      <c r="KEJ18" s="2"/>
      <c r="KEK18"/>
      <c r="KEL18" s="5"/>
      <c r="KEM18" s="2"/>
      <c r="KEN18" s="7"/>
      <c r="KEO18"/>
      <c r="KEP18"/>
      <c r="KEQ18" s="10"/>
      <c r="KER18" s="2"/>
      <c r="KES18"/>
      <c r="KET18" s="5"/>
      <c r="KEU18" s="2"/>
      <c r="KEV18" s="7"/>
      <c r="KEW18"/>
      <c r="KEX18"/>
      <c r="KEY18" s="10"/>
      <c r="KEZ18" s="2"/>
      <c r="KFA18"/>
      <c r="KFB18" s="5"/>
      <c r="KFC18" s="2"/>
      <c r="KFD18" s="7"/>
      <c r="KFE18"/>
      <c r="KFF18"/>
      <c r="KFG18" s="10"/>
      <c r="KFH18" s="2"/>
      <c r="KFI18"/>
      <c r="KFJ18" s="5"/>
      <c r="KFK18" s="2"/>
      <c r="KFL18" s="7"/>
      <c r="KFM18"/>
      <c r="KFN18"/>
      <c r="KFO18" s="10"/>
      <c r="KFP18" s="2"/>
      <c r="KFQ18"/>
      <c r="KFR18" s="5"/>
      <c r="KFS18" s="2"/>
      <c r="KFT18" s="7"/>
      <c r="KFU18"/>
      <c r="KFV18"/>
      <c r="KFW18" s="10"/>
      <c r="KFX18" s="2"/>
      <c r="KFY18"/>
      <c r="KFZ18" s="5"/>
      <c r="KGA18" s="2"/>
      <c r="KGB18" s="7"/>
      <c r="KGC18"/>
      <c r="KGD18"/>
      <c r="KGE18" s="10"/>
      <c r="KGF18" s="2"/>
      <c r="KGG18"/>
      <c r="KGH18" s="5"/>
      <c r="KGI18" s="2"/>
      <c r="KGJ18" s="7"/>
      <c r="KGK18"/>
      <c r="KGL18"/>
      <c r="KGM18" s="10"/>
      <c r="KGN18" s="2"/>
      <c r="KGO18"/>
      <c r="KGP18" s="5"/>
      <c r="KGQ18" s="2"/>
      <c r="KGR18" s="7"/>
      <c r="KGS18"/>
      <c r="KGT18"/>
      <c r="KGU18" s="10"/>
      <c r="KGV18" s="2"/>
      <c r="KGW18"/>
      <c r="KGX18" s="5"/>
      <c r="KGY18" s="2"/>
      <c r="KGZ18" s="7"/>
      <c r="KHA18"/>
      <c r="KHB18"/>
      <c r="KHC18" s="10"/>
      <c r="KHD18" s="2"/>
      <c r="KHE18"/>
      <c r="KHF18" s="5"/>
      <c r="KHG18" s="2"/>
      <c r="KHH18" s="7"/>
      <c r="KHI18"/>
      <c r="KHJ18"/>
      <c r="KHK18" s="10"/>
      <c r="KHL18" s="2"/>
      <c r="KHM18"/>
      <c r="KHN18" s="5"/>
      <c r="KHO18" s="2"/>
      <c r="KHP18" s="7"/>
      <c r="KHQ18"/>
      <c r="KHR18"/>
      <c r="KHS18" s="10"/>
      <c r="KHT18" s="2"/>
      <c r="KHU18"/>
      <c r="KHV18" s="5"/>
      <c r="KHW18" s="2"/>
      <c r="KHX18" s="7"/>
      <c r="KHY18"/>
      <c r="KHZ18"/>
      <c r="KIA18" s="10"/>
      <c r="KIB18" s="2"/>
      <c r="KIC18"/>
      <c r="KID18" s="5"/>
      <c r="KIE18" s="2"/>
      <c r="KIF18" s="7"/>
      <c r="KIG18"/>
      <c r="KIH18"/>
      <c r="KII18" s="10"/>
      <c r="KIJ18" s="2"/>
      <c r="KIK18"/>
      <c r="KIL18" s="5"/>
      <c r="KIM18" s="2"/>
      <c r="KIN18" s="7"/>
      <c r="KIO18"/>
      <c r="KIP18"/>
      <c r="KIQ18" s="10"/>
      <c r="KIR18" s="2"/>
      <c r="KIS18"/>
      <c r="KIT18" s="5"/>
      <c r="KIU18" s="2"/>
      <c r="KIV18" s="7"/>
      <c r="KIW18"/>
      <c r="KIX18"/>
      <c r="KIY18" s="10"/>
      <c r="KIZ18" s="2"/>
      <c r="KJA18"/>
      <c r="KJB18" s="5"/>
      <c r="KJC18" s="2"/>
      <c r="KJD18" s="7"/>
      <c r="KJE18"/>
      <c r="KJF18"/>
      <c r="KJG18" s="10"/>
      <c r="KJH18" s="2"/>
      <c r="KJI18"/>
      <c r="KJJ18" s="5"/>
      <c r="KJK18" s="2"/>
      <c r="KJL18" s="7"/>
      <c r="KJM18"/>
      <c r="KJN18"/>
      <c r="KJO18" s="10"/>
      <c r="KJP18" s="2"/>
      <c r="KJQ18"/>
      <c r="KJR18" s="5"/>
      <c r="KJS18" s="2"/>
      <c r="KJT18" s="7"/>
      <c r="KJU18"/>
      <c r="KJV18"/>
      <c r="KJW18" s="10"/>
      <c r="KJX18" s="2"/>
      <c r="KJY18"/>
      <c r="KJZ18" s="5"/>
      <c r="KKA18" s="2"/>
      <c r="KKB18" s="7"/>
      <c r="KKC18"/>
      <c r="KKD18"/>
      <c r="KKE18" s="10"/>
      <c r="KKF18" s="2"/>
      <c r="KKG18"/>
      <c r="KKH18" s="5"/>
      <c r="KKI18" s="2"/>
      <c r="KKJ18" s="7"/>
      <c r="KKK18"/>
      <c r="KKL18"/>
      <c r="KKM18" s="10"/>
      <c r="KKN18" s="2"/>
      <c r="KKO18"/>
      <c r="KKP18" s="5"/>
      <c r="KKQ18" s="2"/>
      <c r="KKR18" s="7"/>
      <c r="KKS18"/>
      <c r="KKT18"/>
      <c r="KKU18" s="10"/>
      <c r="KKV18" s="2"/>
      <c r="KKW18"/>
      <c r="KKX18" s="5"/>
      <c r="KKY18" s="2"/>
      <c r="KKZ18" s="7"/>
      <c r="KLA18"/>
      <c r="KLB18"/>
      <c r="KLC18" s="10"/>
      <c r="KLD18" s="2"/>
      <c r="KLE18"/>
      <c r="KLF18" s="5"/>
      <c r="KLG18" s="2"/>
      <c r="KLH18" s="7"/>
      <c r="KLI18"/>
      <c r="KLJ18"/>
      <c r="KLK18" s="10"/>
      <c r="KLL18" s="2"/>
      <c r="KLM18"/>
      <c r="KLN18" s="5"/>
      <c r="KLO18" s="2"/>
      <c r="KLP18" s="7"/>
      <c r="KLQ18"/>
      <c r="KLR18"/>
      <c r="KLS18" s="10"/>
      <c r="KLT18" s="2"/>
      <c r="KLU18"/>
      <c r="KLV18" s="5"/>
      <c r="KLW18" s="2"/>
      <c r="KLX18" s="7"/>
      <c r="KLY18"/>
      <c r="KLZ18"/>
      <c r="KMA18" s="10"/>
      <c r="KMB18" s="2"/>
      <c r="KMC18"/>
      <c r="KMD18" s="5"/>
      <c r="KME18" s="2"/>
      <c r="KMF18" s="7"/>
      <c r="KMG18"/>
      <c r="KMH18"/>
      <c r="KMI18" s="10"/>
      <c r="KMJ18" s="2"/>
      <c r="KMK18"/>
      <c r="KML18" s="5"/>
      <c r="KMM18" s="2"/>
      <c r="KMN18" s="7"/>
      <c r="KMO18"/>
      <c r="KMP18"/>
      <c r="KMQ18" s="10"/>
      <c r="KMR18" s="2"/>
      <c r="KMS18"/>
      <c r="KMT18" s="5"/>
      <c r="KMU18" s="2"/>
      <c r="KMV18" s="7"/>
      <c r="KMW18"/>
      <c r="KMX18"/>
      <c r="KMY18" s="10"/>
      <c r="KMZ18" s="2"/>
      <c r="KNA18"/>
      <c r="KNB18" s="5"/>
      <c r="KNC18" s="2"/>
      <c r="KND18" s="7"/>
      <c r="KNE18"/>
      <c r="KNF18"/>
      <c r="KNG18" s="10"/>
      <c r="KNH18" s="2"/>
      <c r="KNI18"/>
      <c r="KNJ18" s="5"/>
      <c r="KNK18" s="2"/>
      <c r="KNL18" s="7"/>
      <c r="KNM18"/>
      <c r="KNN18"/>
      <c r="KNO18" s="10"/>
      <c r="KNP18" s="2"/>
      <c r="KNQ18"/>
      <c r="KNR18" s="5"/>
      <c r="KNS18" s="2"/>
      <c r="KNT18" s="7"/>
      <c r="KNU18"/>
      <c r="KNV18"/>
      <c r="KNW18" s="10"/>
      <c r="KNX18" s="2"/>
      <c r="KNY18"/>
      <c r="KNZ18" s="5"/>
      <c r="KOA18" s="2"/>
      <c r="KOB18" s="7"/>
      <c r="KOC18"/>
      <c r="KOD18"/>
      <c r="KOE18" s="10"/>
      <c r="KOF18" s="2"/>
      <c r="KOG18"/>
      <c r="KOH18" s="5"/>
      <c r="KOI18" s="2"/>
      <c r="KOJ18" s="7"/>
      <c r="KOK18"/>
      <c r="KOL18"/>
      <c r="KOM18" s="10"/>
      <c r="KON18" s="2"/>
      <c r="KOO18"/>
      <c r="KOP18" s="5"/>
      <c r="KOQ18" s="2"/>
      <c r="KOR18" s="7"/>
      <c r="KOS18"/>
      <c r="KOT18"/>
      <c r="KOU18" s="10"/>
      <c r="KOV18" s="2"/>
      <c r="KOW18"/>
      <c r="KOX18" s="5"/>
      <c r="KOY18" s="2"/>
      <c r="KOZ18" s="7"/>
      <c r="KPA18"/>
      <c r="KPB18"/>
      <c r="KPC18" s="10"/>
      <c r="KPD18" s="2"/>
      <c r="KPE18"/>
      <c r="KPF18" s="5"/>
      <c r="KPG18" s="2"/>
      <c r="KPH18" s="7"/>
      <c r="KPI18"/>
      <c r="KPJ18"/>
      <c r="KPK18" s="10"/>
      <c r="KPL18" s="2"/>
      <c r="KPM18"/>
      <c r="KPN18" s="5"/>
      <c r="KPO18" s="2"/>
      <c r="KPP18" s="7"/>
      <c r="KPQ18"/>
      <c r="KPR18"/>
      <c r="KPS18" s="10"/>
      <c r="KPT18" s="2"/>
      <c r="KPU18"/>
      <c r="KPV18" s="5"/>
      <c r="KPW18" s="2"/>
      <c r="KPX18" s="7"/>
      <c r="KPY18"/>
      <c r="KPZ18"/>
      <c r="KQA18" s="10"/>
      <c r="KQB18" s="2"/>
      <c r="KQC18"/>
      <c r="KQD18" s="5"/>
      <c r="KQE18" s="2"/>
      <c r="KQF18" s="7"/>
      <c r="KQG18"/>
      <c r="KQH18"/>
      <c r="KQI18" s="10"/>
      <c r="KQJ18" s="2"/>
      <c r="KQK18"/>
      <c r="KQL18" s="5"/>
      <c r="KQM18" s="2"/>
      <c r="KQN18" s="7"/>
      <c r="KQO18"/>
      <c r="KQP18"/>
      <c r="KQQ18" s="10"/>
      <c r="KQR18" s="2"/>
      <c r="KQS18"/>
      <c r="KQT18" s="5"/>
      <c r="KQU18" s="2"/>
      <c r="KQV18" s="7"/>
      <c r="KQW18"/>
      <c r="KQX18"/>
      <c r="KQY18" s="10"/>
      <c r="KQZ18" s="2"/>
      <c r="KRA18"/>
      <c r="KRB18" s="5"/>
      <c r="KRC18" s="2"/>
      <c r="KRD18" s="7"/>
      <c r="KRE18"/>
      <c r="KRF18"/>
      <c r="KRG18" s="10"/>
      <c r="KRH18" s="2"/>
      <c r="KRI18"/>
      <c r="KRJ18" s="5"/>
      <c r="KRK18" s="2"/>
      <c r="KRL18" s="7"/>
      <c r="KRM18"/>
      <c r="KRN18"/>
      <c r="KRO18" s="10"/>
      <c r="KRP18" s="2"/>
      <c r="KRQ18"/>
      <c r="KRR18" s="5"/>
      <c r="KRS18" s="2"/>
      <c r="KRT18" s="7"/>
      <c r="KRU18"/>
      <c r="KRV18"/>
      <c r="KRW18" s="10"/>
      <c r="KRX18" s="2"/>
      <c r="KRY18"/>
      <c r="KRZ18" s="5"/>
      <c r="KSA18" s="2"/>
      <c r="KSB18" s="7"/>
      <c r="KSC18"/>
      <c r="KSD18"/>
      <c r="KSE18" s="10"/>
      <c r="KSF18" s="2"/>
      <c r="KSG18"/>
      <c r="KSH18" s="5"/>
      <c r="KSI18" s="2"/>
      <c r="KSJ18" s="7"/>
      <c r="KSK18"/>
      <c r="KSL18"/>
      <c r="KSM18" s="10"/>
      <c r="KSN18" s="2"/>
      <c r="KSO18"/>
      <c r="KSP18" s="5"/>
      <c r="KSQ18" s="2"/>
      <c r="KSR18" s="7"/>
      <c r="KSS18"/>
      <c r="KST18"/>
      <c r="KSU18" s="10"/>
      <c r="KSV18" s="2"/>
      <c r="KSW18"/>
      <c r="KSX18" s="5"/>
      <c r="KSY18" s="2"/>
      <c r="KSZ18" s="7"/>
      <c r="KTA18"/>
      <c r="KTB18"/>
      <c r="KTC18" s="10"/>
      <c r="KTD18" s="2"/>
      <c r="KTE18"/>
      <c r="KTF18" s="5"/>
      <c r="KTG18" s="2"/>
      <c r="KTH18" s="7"/>
      <c r="KTI18"/>
      <c r="KTJ18"/>
      <c r="KTK18" s="10"/>
      <c r="KTL18" s="2"/>
      <c r="KTM18"/>
      <c r="KTN18" s="5"/>
      <c r="KTO18" s="2"/>
      <c r="KTP18" s="7"/>
      <c r="KTQ18"/>
      <c r="KTR18"/>
      <c r="KTS18" s="10"/>
      <c r="KTT18" s="2"/>
      <c r="KTU18"/>
      <c r="KTV18" s="5"/>
      <c r="KTW18" s="2"/>
      <c r="KTX18" s="7"/>
      <c r="KTY18"/>
      <c r="KTZ18"/>
      <c r="KUA18" s="10"/>
      <c r="KUB18" s="2"/>
      <c r="KUC18"/>
      <c r="KUD18" s="5"/>
      <c r="KUE18" s="2"/>
      <c r="KUF18" s="7"/>
      <c r="KUG18"/>
      <c r="KUH18"/>
      <c r="KUI18" s="10"/>
      <c r="KUJ18" s="2"/>
      <c r="KUK18"/>
      <c r="KUL18" s="5"/>
      <c r="KUM18" s="2"/>
      <c r="KUN18" s="7"/>
      <c r="KUO18"/>
      <c r="KUP18"/>
      <c r="KUQ18" s="10"/>
      <c r="KUR18" s="2"/>
      <c r="KUS18"/>
      <c r="KUT18" s="5"/>
      <c r="KUU18" s="2"/>
      <c r="KUV18" s="7"/>
      <c r="KUW18"/>
      <c r="KUX18"/>
      <c r="KUY18" s="10"/>
      <c r="KUZ18" s="2"/>
      <c r="KVA18"/>
      <c r="KVB18" s="5"/>
      <c r="KVC18" s="2"/>
      <c r="KVD18" s="7"/>
      <c r="KVE18"/>
      <c r="KVF18"/>
      <c r="KVG18" s="10"/>
      <c r="KVH18" s="2"/>
      <c r="KVI18"/>
      <c r="KVJ18" s="5"/>
      <c r="KVK18" s="2"/>
      <c r="KVL18" s="7"/>
      <c r="KVM18"/>
      <c r="KVN18"/>
      <c r="KVO18" s="10"/>
      <c r="KVP18" s="2"/>
      <c r="KVQ18"/>
      <c r="KVR18" s="5"/>
      <c r="KVS18" s="2"/>
      <c r="KVT18" s="7"/>
      <c r="KVU18"/>
      <c r="KVV18"/>
      <c r="KVW18" s="10"/>
      <c r="KVX18" s="2"/>
      <c r="KVY18"/>
      <c r="KVZ18" s="5"/>
      <c r="KWA18" s="2"/>
      <c r="KWB18" s="7"/>
      <c r="KWC18"/>
      <c r="KWD18"/>
      <c r="KWE18" s="10"/>
      <c r="KWF18" s="2"/>
      <c r="KWG18"/>
      <c r="KWH18" s="5"/>
      <c r="KWI18" s="2"/>
      <c r="KWJ18" s="7"/>
      <c r="KWK18"/>
      <c r="KWL18"/>
      <c r="KWM18" s="10"/>
      <c r="KWN18" s="2"/>
      <c r="KWO18"/>
      <c r="KWP18" s="5"/>
      <c r="KWQ18" s="2"/>
      <c r="KWR18" s="7"/>
      <c r="KWS18"/>
      <c r="KWT18"/>
      <c r="KWU18" s="10"/>
      <c r="KWV18" s="2"/>
      <c r="KWW18"/>
      <c r="KWX18" s="5"/>
      <c r="KWY18" s="2"/>
      <c r="KWZ18" s="7"/>
      <c r="KXA18"/>
      <c r="KXB18"/>
      <c r="KXC18" s="10"/>
      <c r="KXD18" s="2"/>
      <c r="KXE18"/>
      <c r="KXF18" s="5"/>
      <c r="KXG18" s="2"/>
      <c r="KXH18" s="7"/>
      <c r="KXI18"/>
      <c r="KXJ18"/>
      <c r="KXK18" s="10"/>
      <c r="KXL18" s="2"/>
      <c r="KXM18"/>
      <c r="KXN18" s="5"/>
      <c r="KXO18" s="2"/>
      <c r="KXP18" s="7"/>
      <c r="KXQ18"/>
      <c r="KXR18"/>
      <c r="KXS18" s="10"/>
      <c r="KXT18" s="2"/>
      <c r="KXU18"/>
      <c r="KXV18" s="5"/>
      <c r="KXW18" s="2"/>
      <c r="KXX18" s="7"/>
      <c r="KXY18"/>
      <c r="KXZ18"/>
      <c r="KYA18" s="10"/>
      <c r="KYB18" s="2"/>
      <c r="KYC18"/>
      <c r="KYD18" s="5"/>
      <c r="KYE18" s="2"/>
      <c r="KYF18" s="7"/>
      <c r="KYG18"/>
      <c r="KYH18"/>
      <c r="KYI18" s="10"/>
      <c r="KYJ18" s="2"/>
      <c r="KYK18"/>
      <c r="KYL18" s="5"/>
      <c r="KYM18" s="2"/>
      <c r="KYN18" s="7"/>
      <c r="KYO18"/>
      <c r="KYP18"/>
      <c r="KYQ18" s="10"/>
      <c r="KYR18" s="2"/>
      <c r="KYS18"/>
      <c r="KYT18" s="5"/>
      <c r="KYU18" s="2"/>
      <c r="KYV18" s="7"/>
      <c r="KYW18"/>
      <c r="KYX18"/>
      <c r="KYY18" s="10"/>
      <c r="KYZ18" s="2"/>
      <c r="KZA18"/>
      <c r="KZB18" s="5"/>
      <c r="KZC18" s="2"/>
      <c r="KZD18" s="7"/>
      <c r="KZE18"/>
      <c r="KZF18"/>
      <c r="KZG18" s="10"/>
      <c r="KZH18" s="2"/>
      <c r="KZI18"/>
      <c r="KZJ18" s="5"/>
      <c r="KZK18" s="2"/>
      <c r="KZL18" s="7"/>
      <c r="KZM18"/>
      <c r="KZN18"/>
      <c r="KZO18" s="10"/>
      <c r="KZP18" s="2"/>
      <c r="KZQ18"/>
      <c r="KZR18" s="5"/>
      <c r="KZS18" s="2"/>
      <c r="KZT18" s="7"/>
      <c r="KZU18"/>
      <c r="KZV18"/>
      <c r="KZW18" s="10"/>
      <c r="KZX18" s="2"/>
      <c r="KZY18"/>
      <c r="KZZ18" s="5"/>
      <c r="LAA18" s="2"/>
      <c r="LAB18" s="7"/>
      <c r="LAC18"/>
      <c r="LAD18"/>
      <c r="LAE18" s="10"/>
      <c r="LAF18" s="2"/>
      <c r="LAG18"/>
      <c r="LAH18" s="5"/>
      <c r="LAI18" s="2"/>
      <c r="LAJ18" s="7"/>
      <c r="LAK18"/>
      <c r="LAL18"/>
      <c r="LAM18" s="10"/>
      <c r="LAN18" s="2"/>
      <c r="LAO18"/>
      <c r="LAP18" s="5"/>
      <c r="LAQ18" s="2"/>
      <c r="LAR18" s="7"/>
      <c r="LAS18"/>
      <c r="LAT18"/>
      <c r="LAU18" s="10"/>
      <c r="LAV18" s="2"/>
      <c r="LAW18"/>
      <c r="LAX18" s="5"/>
      <c r="LAY18" s="2"/>
      <c r="LAZ18" s="7"/>
      <c r="LBA18"/>
      <c r="LBB18"/>
      <c r="LBC18" s="10"/>
      <c r="LBD18" s="2"/>
      <c r="LBE18"/>
      <c r="LBF18" s="5"/>
      <c r="LBG18" s="2"/>
      <c r="LBH18" s="7"/>
      <c r="LBI18"/>
      <c r="LBJ18"/>
      <c r="LBK18" s="10"/>
      <c r="LBL18" s="2"/>
      <c r="LBM18"/>
      <c r="LBN18" s="5"/>
      <c r="LBO18" s="2"/>
      <c r="LBP18" s="7"/>
      <c r="LBQ18"/>
      <c r="LBR18"/>
      <c r="LBS18" s="10"/>
      <c r="LBT18" s="2"/>
      <c r="LBU18"/>
      <c r="LBV18" s="5"/>
      <c r="LBW18" s="2"/>
      <c r="LBX18" s="7"/>
      <c r="LBY18"/>
      <c r="LBZ18"/>
      <c r="LCA18" s="10"/>
      <c r="LCB18" s="2"/>
      <c r="LCC18"/>
      <c r="LCD18" s="5"/>
      <c r="LCE18" s="2"/>
      <c r="LCF18" s="7"/>
      <c r="LCG18"/>
      <c r="LCH18"/>
      <c r="LCI18" s="10"/>
      <c r="LCJ18" s="2"/>
      <c r="LCK18"/>
      <c r="LCL18" s="5"/>
      <c r="LCM18" s="2"/>
      <c r="LCN18" s="7"/>
      <c r="LCO18"/>
      <c r="LCP18"/>
      <c r="LCQ18" s="10"/>
      <c r="LCR18" s="2"/>
      <c r="LCS18"/>
      <c r="LCT18" s="5"/>
      <c r="LCU18" s="2"/>
      <c r="LCV18" s="7"/>
      <c r="LCW18"/>
      <c r="LCX18"/>
      <c r="LCY18" s="10"/>
      <c r="LCZ18" s="2"/>
      <c r="LDA18"/>
      <c r="LDB18" s="5"/>
      <c r="LDC18" s="2"/>
      <c r="LDD18" s="7"/>
      <c r="LDE18"/>
      <c r="LDF18"/>
      <c r="LDG18" s="10"/>
      <c r="LDH18" s="2"/>
      <c r="LDI18"/>
      <c r="LDJ18" s="5"/>
      <c r="LDK18" s="2"/>
      <c r="LDL18" s="7"/>
      <c r="LDM18"/>
      <c r="LDN18"/>
      <c r="LDO18" s="10"/>
      <c r="LDP18" s="2"/>
      <c r="LDQ18"/>
      <c r="LDR18" s="5"/>
      <c r="LDS18" s="2"/>
      <c r="LDT18" s="7"/>
      <c r="LDU18"/>
      <c r="LDV18"/>
      <c r="LDW18" s="10"/>
      <c r="LDX18" s="2"/>
      <c r="LDY18"/>
      <c r="LDZ18" s="5"/>
      <c r="LEA18" s="2"/>
      <c r="LEB18" s="7"/>
      <c r="LEC18"/>
      <c r="LED18"/>
      <c r="LEE18" s="10"/>
      <c r="LEF18" s="2"/>
      <c r="LEG18"/>
      <c r="LEH18" s="5"/>
      <c r="LEI18" s="2"/>
      <c r="LEJ18" s="7"/>
      <c r="LEK18"/>
      <c r="LEL18"/>
      <c r="LEM18" s="10"/>
      <c r="LEN18" s="2"/>
      <c r="LEO18"/>
      <c r="LEP18" s="5"/>
      <c r="LEQ18" s="2"/>
      <c r="LER18" s="7"/>
      <c r="LES18"/>
      <c r="LET18"/>
      <c r="LEU18" s="10"/>
      <c r="LEV18" s="2"/>
      <c r="LEW18"/>
      <c r="LEX18" s="5"/>
      <c r="LEY18" s="2"/>
      <c r="LEZ18" s="7"/>
      <c r="LFA18"/>
      <c r="LFB18"/>
      <c r="LFC18" s="10"/>
      <c r="LFD18" s="2"/>
      <c r="LFE18"/>
      <c r="LFF18" s="5"/>
      <c r="LFG18" s="2"/>
      <c r="LFH18" s="7"/>
      <c r="LFI18"/>
      <c r="LFJ18"/>
      <c r="LFK18" s="10"/>
      <c r="LFL18" s="2"/>
      <c r="LFM18"/>
      <c r="LFN18" s="5"/>
      <c r="LFO18" s="2"/>
      <c r="LFP18" s="7"/>
      <c r="LFQ18"/>
      <c r="LFR18"/>
      <c r="LFS18" s="10"/>
      <c r="LFT18" s="2"/>
      <c r="LFU18"/>
      <c r="LFV18" s="5"/>
      <c r="LFW18" s="2"/>
      <c r="LFX18" s="7"/>
      <c r="LFY18"/>
      <c r="LFZ18"/>
      <c r="LGA18" s="10"/>
      <c r="LGB18" s="2"/>
      <c r="LGC18"/>
      <c r="LGD18" s="5"/>
      <c r="LGE18" s="2"/>
      <c r="LGF18" s="7"/>
      <c r="LGG18"/>
      <c r="LGH18"/>
      <c r="LGI18" s="10"/>
      <c r="LGJ18" s="2"/>
      <c r="LGK18"/>
      <c r="LGL18" s="5"/>
      <c r="LGM18" s="2"/>
      <c r="LGN18" s="7"/>
      <c r="LGO18"/>
      <c r="LGP18"/>
      <c r="LGQ18" s="10"/>
      <c r="LGR18" s="2"/>
      <c r="LGS18"/>
      <c r="LGT18" s="5"/>
      <c r="LGU18" s="2"/>
      <c r="LGV18" s="7"/>
      <c r="LGW18"/>
      <c r="LGX18"/>
      <c r="LGY18" s="10"/>
      <c r="LGZ18" s="2"/>
      <c r="LHA18"/>
      <c r="LHB18" s="5"/>
      <c r="LHC18" s="2"/>
      <c r="LHD18" s="7"/>
      <c r="LHE18"/>
      <c r="LHF18"/>
      <c r="LHG18" s="10"/>
      <c r="LHH18" s="2"/>
      <c r="LHI18"/>
      <c r="LHJ18" s="5"/>
      <c r="LHK18" s="2"/>
      <c r="LHL18" s="7"/>
      <c r="LHM18"/>
      <c r="LHN18"/>
      <c r="LHO18" s="10"/>
      <c r="LHP18" s="2"/>
      <c r="LHQ18"/>
      <c r="LHR18" s="5"/>
      <c r="LHS18" s="2"/>
      <c r="LHT18" s="7"/>
      <c r="LHU18"/>
      <c r="LHV18"/>
      <c r="LHW18" s="10"/>
      <c r="LHX18" s="2"/>
      <c r="LHY18"/>
      <c r="LHZ18" s="5"/>
      <c r="LIA18" s="2"/>
      <c r="LIB18" s="7"/>
      <c r="LIC18"/>
      <c r="LID18"/>
      <c r="LIE18" s="10"/>
      <c r="LIF18" s="2"/>
      <c r="LIG18"/>
      <c r="LIH18" s="5"/>
      <c r="LII18" s="2"/>
      <c r="LIJ18" s="7"/>
      <c r="LIK18"/>
      <c r="LIL18"/>
      <c r="LIM18" s="10"/>
      <c r="LIN18" s="2"/>
      <c r="LIO18"/>
      <c r="LIP18" s="5"/>
      <c r="LIQ18" s="2"/>
      <c r="LIR18" s="7"/>
      <c r="LIS18"/>
      <c r="LIT18"/>
      <c r="LIU18" s="10"/>
      <c r="LIV18" s="2"/>
      <c r="LIW18"/>
      <c r="LIX18" s="5"/>
      <c r="LIY18" s="2"/>
      <c r="LIZ18" s="7"/>
      <c r="LJA18"/>
      <c r="LJB18"/>
      <c r="LJC18" s="10"/>
      <c r="LJD18" s="2"/>
      <c r="LJE18"/>
      <c r="LJF18" s="5"/>
      <c r="LJG18" s="2"/>
      <c r="LJH18" s="7"/>
      <c r="LJI18"/>
      <c r="LJJ18"/>
      <c r="LJK18" s="10"/>
      <c r="LJL18" s="2"/>
      <c r="LJM18"/>
      <c r="LJN18" s="5"/>
      <c r="LJO18" s="2"/>
      <c r="LJP18" s="7"/>
      <c r="LJQ18"/>
      <c r="LJR18"/>
      <c r="LJS18" s="10"/>
      <c r="LJT18" s="2"/>
      <c r="LJU18"/>
      <c r="LJV18" s="5"/>
      <c r="LJW18" s="2"/>
      <c r="LJX18" s="7"/>
      <c r="LJY18"/>
      <c r="LJZ18"/>
      <c r="LKA18" s="10"/>
      <c r="LKB18" s="2"/>
      <c r="LKC18"/>
      <c r="LKD18" s="5"/>
      <c r="LKE18" s="2"/>
      <c r="LKF18" s="7"/>
      <c r="LKG18"/>
      <c r="LKH18"/>
      <c r="LKI18" s="10"/>
      <c r="LKJ18" s="2"/>
      <c r="LKK18"/>
      <c r="LKL18" s="5"/>
      <c r="LKM18" s="2"/>
      <c r="LKN18" s="7"/>
      <c r="LKO18"/>
      <c r="LKP18"/>
      <c r="LKQ18" s="10"/>
      <c r="LKR18" s="2"/>
      <c r="LKS18"/>
      <c r="LKT18" s="5"/>
      <c r="LKU18" s="2"/>
      <c r="LKV18" s="7"/>
      <c r="LKW18"/>
      <c r="LKX18"/>
      <c r="LKY18" s="10"/>
      <c r="LKZ18" s="2"/>
      <c r="LLA18"/>
      <c r="LLB18" s="5"/>
      <c r="LLC18" s="2"/>
      <c r="LLD18" s="7"/>
      <c r="LLE18"/>
      <c r="LLF18"/>
      <c r="LLG18" s="10"/>
      <c r="LLH18" s="2"/>
      <c r="LLI18"/>
      <c r="LLJ18" s="5"/>
      <c r="LLK18" s="2"/>
      <c r="LLL18" s="7"/>
      <c r="LLM18"/>
      <c r="LLN18"/>
      <c r="LLO18" s="10"/>
      <c r="LLP18" s="2"/>
      <c r="LLQ18"/>
      <c r="LLR18" s="5"/>
      <c r="LLS18" s="2"/>
      <c r="LLT18" s="7"/>
      <c r="LLU18"/>
      <c r="LLV18"/>
      <c r="LLW18" s="10"/>
      <c r="LLX18" s="2"/>
      <c r="LLY18"/>
      <c r="LLZ18" s="5"/>
      <c r="LMA18" s="2"/>
      <c r="LMB18" s="7"/>
      <c r="LMC18"/>
      <c r="LMD18"/>
      <c r="LME18" s="10"/>
      <c r="LMF18" s="2"/>
      <c r="LMG18"/>
      <c r="LMH18" s="5"/>
      <c r="LMI18" s="2"/>
      <c r="LMJ18" s="7"/>
      <c r="LMK18"/>
      <c r="LML18"/>
      <c r="LMM18" s="10"/>
      <c r="LMN18" s="2"/>
      <c r="LMO18"/>
      <c r="LMP18" s="5"/>
      <c r="LMQ18" s="2"/>
      <c r="LMR18" s="7"/>
      <c r="LMS18"/>
      <c r="LMT18"/>
      <c r="LMU18" s="10"/>
      <c r="LMV18" s="2"/>
      <c r="LMW18"/>
      <c r="LMX18" s="5"/>
      <c r="LMY18" s="2"/>
      <c r="LMZ18" s="7"/>
      <c r="LNA18"/>
      <c r="LNB18"/>
      <c r="LNC18" s="10"/>
      <c r="LND18" s="2"/>
      <c r="LNE18"/>
      <c r="LNF18" s="5"/>
      <c r="LNG18" s="2"/>
      <c r="LNH18" s="7"/>
      <c r="LNI18"/>
      <c r="LNJ18"/>
      <c r="LNK18" s="10"/>
      <c r="LNL18" s="2"/>
      <c r="LNM18"/>
      <c r="LNN18" s="5"/>
      <c r="LNO18" s="2"/>
      <c r="LNP18" s="7"/>
      <c r="LNQ18"/>
      <c r="LNR18"/>
      <c r="LNS18" s="10"/>
      <c r="LNT18" s="2"/>
      <c r="LNU18"/>
      <c r="LNV18" s="5"/>
      <c r="LNW18" s="2"/>
      <c r="LNX18" s="7"/>
      <c r="LNY18"/>
      <c r="LNZ18"/>
      <c r="LOA18" s="10"/>
      <c r="LOB18" s="2"/>
      <c r="LOC18"/>
      <c r="LOD18" s="5"/>
      <c r="LOE18" s="2"/>
      <c r="LOF18" s="7"/>
      <c r="LOG18"/>
      <c r="LOH18"/>
      <c r="LOI18" s="10"/>
      <c r="LOJ18" s="2"/>
      <c r="LOK18"/>
      <c r="LOL18" s="5"/>
      <c r="LOM18" s="2"/>
      <c r="LON18" s="7"/>
      <c r="LOO18"/>
      <c r="LOP18"/>
      <c r="LOQ18" s="10"/>
      <c r="LOR18" s="2"/>
      <c r="LOS18"/>
      <c r="LOT18" s="5"/>
      <c r="LOU18" s="2"/>
      <c r="LOV18" s="7"/>
      <c r="LOW18"/>
      <c r="LOX18"/>
      <c r="LOY18" s="10"/>
      <c r="LOZ18" s="2"/>
      <c r="LPA18"/>
      <c r="LPB18" s="5"/>
      <c r="LPC18" s="2"/>
      <c r="LPD18" s="7"/>
      <c r="LPE18"/>
      <c r="LPF18"/>
      <c r="LPG18" s="10"/>
      <c r="LPH18" s="2"/>
      <c r="LPI18"/>
      <c r="LPJ18" s="5"/>
      <c r="LPK18" s="2"/>
      <c r="LPL18" s="7"/>
      <c r="LPM18"/>
      <c r="LPN18"/>
      <c r="LPO18" s="10"/>
      <c r="LPP18" s="2"/>
      <c r="LPQ18"/>
      <c r="LPR18" s="5"/>
      <c r="LPS18" s="2"/>
      <c r="LPT18" s="7"/>
      <c r="LPU18"/>
      <c r="LPV18"/>
      <c r="LPW18" s="10"/>
      <c r="LPX18" s="2"/>
      <c r="LPY18"/>
      <c r="LPZ18" s="5"/>
      <c r="LQA18" s="2"/>
      <c r="LQB18" s="7"/>
      <c r="LQC18"/>
      <c r="LQD18"/>
      <c r="LQE18" s="10"/>
      <c r="LQF18" s="2"/>
      <c r="LQG18"/>
      <c r="LQH18" s="5"/>
      <c r="LQI18" s="2"/>
      <c r="LQJ18" s="7"/>
      <c r="LQK18"/>
      <c r="LQL18"/>
      <c r="LQM18" s="10"/>
      <c r="LQN18" s="2"/>
      <c r="LQO18"/>
      <c r="LQP18" s="5"/>
      <c r="LQQ18" s="2"/>
      <c r="LQR18" s="7"/>
      <c r="LQS18"/>
      <c r="LQT18"/>
      <c r="LQU18" s="10"/>
      <c r="LQV18" s="2"/>
      <c r="LQW18"/>
      <c r="LQX18" s="5"/>
      <c r="LQY18" s="2"/>
      <c r="LQZ18" s="7"/>
      <c r="LRA18"/>
      <c r="LRB18"/>
      <c r="LRC18" s="10"/>
      <c r="LRD18" s="2"/>
      <c r="LRE18"/>
      <c r="LRF18" s="5"/>
      <c r="LRG18" s="2"/>
      <c r="LRH18" s="7"/>
      <c r="LRI18"/>
      <c r="LRJ18"/>
      <c r="LRK18" s="10"/>
      <c r="LRL18" s="2"/>
      <c r="LRM18"/>
      <c r="LRN18" s="5"/>
      <c r="LRO18" s="2"/>
      <c r="LRP18" s="7"/>
      <c r="LRQ18"/>
      <c r="LRR18"/>
      <c r="LRS18" s="10"/>
      <c r="LRT18" s="2"/>
      <c r="LRU18"/>
      <c r="LRV18" s="5"/>
      <c r="LRW18" s="2"/>
      <c r="LRX18" s="7"/>
      <c r="LRY18"/>
      <c r="LRZ18"/>
      <c r="LSA18" s="10"/>
      <c r="LSB18" s="2"/>
      <c r="LSC18"/>
      <c r="LSD18" s="5"/>
      <c r="LSE18" s="2"/>
      <c r="LSF18" s="7"/>
      <c r="LSG18"/>
      <c r="LSH18"/>
      <c r="LSI18" s="10"/>
      <c r="LSJ18" s="2"/>
      <c r="LSK18"/>
      <c r="LSL18" s="5"/>
      <c r="LSM18" s="2"/>
      <c r="LSN18" s="7"/>
      <c r="LSO18"/>
      <c r="LSP18"/>
      <c r="LSQ18" s="10"/>
      <c r="LSR18" s="2"/>
      <c r="LSS18"/>
      <c r="LST18" s="5"/>
      <c r="LSU18" s="2"/>
      <c r="LSV18" s="7"/>
      <c r="LSW18"/>
      <c r="LSX18"/>
      <c r="LSY18" s="10"/>
      <c r="LSZ18" s="2"/>
      <c r="LTA18"/>
      <c r="LTB18" s="5"/>
      <c r="LTC18" s="2"/>
      <c r="LTD18" s="7"/>
      <c r="LTE18"/>
      <c r="LTF18"/>
      <c r="LTG18" s="10"/>
      <c r="LTH18" s="2"/>
      <c r="LTI18"/>
      <c r="LTJ18" s="5"/>
      <c r="LTK18" s="2"/>
      <c r="LTL18" s="7"/>
      <c r="LTM18"/>
      <c r="LTN18"/>
      <c r="LTO18" s="10"/>
      <c r="LTP18" s="2"/>
      <c r="LTQ18"/>
      <c r="LTR18" s="5"/>
      <c r="LTS18" s="2"/>
      <c r="LTT18" s="7"/>
      <c r="LTU18"/>
      <c r="LTV18"/>
      <c r="LTW18" s="10"/>
      <c r="LTX18" s="2"/>
      <c r="LTY18"/>
      <c r="LTZ18" s="5"/>
      <c r="LUA18" s="2"/>
      <c r="LUB18" s="7"/>
      <c r="LUC18"/>
      <c r="LUD18"/>
      <c r="LUE18" s="10"/>
      <c r="LUF18" s="2"/>
      <c r="LUG18"/>
      <c r="LUH18" s="5"/>
      <c r="LUI18" s="2"/>
      <c r="LUJ18" s="7"/>
      <c r="LUK18"/>
      <c r="LUL18"/>
      <c r="LUM18" s="10"/>
      <c r="LUN18" s="2"/>
      <c r="LUO18"/>
      <c r="LUP18" s="5"/>
      <c r="LUQ18" s="2"/>
      <c r="LUR18" s="7"/>
      <c r="LUS18"/>
      <c r="LUT18"/>
      <c r="LUU18" s="10"/>
      <c r="LUV18" s="2"/>
      <c r="LUW18"/>
      <c r="LUX18" s="5"/>
      <c r="LUY18" s="2"/>
      <c r="LUZ18" s="7"/>
      <c r="LVA18"/>
      <c r="LVB18"/>
      <c r="LVC18" s="10"/>
      <c r="LVD18" s="2"/>
      <c r="LVE18"/>
      <c r="LVF18" s="5"/>
      <c r="LVG18" s="2"/>
      <c r="LVH18" s="7"/>
      <c r="LVI18"/>
      <c r="LVJ18"/>
      <c r="LVK18" s="10"/>
      <c r="LVL18" s="2"/>
      <c r="LVM18"/>
      <c r="LVN18" s="5"/>
      <c r="LVO18" s="2"/>
      <c r="LVP18" s="7"/>
      <c r="LVQ18"/>
      <c r="LVR18"/>
      <c r="LVS18" s="10"/>
      <c r="LVT18" s="2"/>
      <c r="LVU18"/>
      <c r="LVV18" s="5"/>
      <c r="LVW18" s="2"/>
      <c r="LVX18" s="7"/>
      <c r="LVY18"/>
      <c r="LVZ18"/>
      <c r="LWA18" s="10"/>
      <c r="LWB18" s="2"/>
      <c r="LWC18"/>
      <c r="LWD18" s="5"/>
      <c r="LWE18" s="2"/>
      <c r="LWF18" s="7"/>
      <c r="LWG18"/>
      <c r="LWH18"/>
      <c r="LWI18" s="10"/>
      <c r="LWJ18" s="2"/>
      <c r="LWK18"/>
      <c r="LWL18" s="5"/>
      <c r="LWM18" s="2"/>
      <c r="LWN18" s="7"/>
      <c r="LWO18"/>
      <c r="LWP18"/>
      <c r="LWQ18" s="10"/>
      <c r="LWR18" s="2"/>
      <c r="LWS18"/>
      <c r="LWT18" s="5"/>
      <c r="LWU18" s="2"/>
      <c r="LWV18" s="7"/>
      <c r="LWW18"/>
      <c r="LWX18"/>
      <c r="LWY18" s="10"/>
      <c r="LWZ18" s="2"/>
      <c r="LXA18"/>
      <c r="LXB18" s="5"/>
      <c r="LXC18" s="2"/>
      <c r="LXD18" s="7"/>
      <c r="LXE18"/>
      <c r="LXF18"/>
      <c r="LXG18" s="10"/>
      <c r="LXH18" s="2"/>
      <c r="LXI18"/>
      <c r="LXJ18" s="5"/>
      <c r="LXK18" s="2"/>
      <c r="LXL18" s="7"/>
      <c r="LXM18"/>
      <c r="LXN18"/>
      <c r="LXO18" s="10"/>
      <c r="LXP18" s="2"/>
      <c r="LXQ18"/>
      <c r="LXR18" s="5"/>
      <c r="LXS18" s="2"/>
      <c r="LXT18" s="7"/>
      <c r="LXU18"/>
      <c r="LXV18"/>
      <c r="LXW18" s="10"/>
      <c r="LXX18" s="2"/>
      <c r="LXY18"/>
      <c r="LXZ18" s="5"/>
      <c r="LYA18" s="2"/>
      <c r="LYB18" s="7"/>
      <c r="LYC18"/>
      <c r="LYD18"/>
      <c r="LYE18" s="10"/>
      <c r="LYF18" s="2"/>
      <c r="LYG18"/>
      <c r="LYH18" s="5"/>
      <c r="LYI18" s="2"/>
      <c r="LYJ18" s="7"/>
      <c r="LYK18"/>
      <c r="LYL18"/>
      <c r="LYM18" s="10"/>
      <c r="LYN18" s="2"/>
      <c r="LYO18"/>
      <c r="LYP18" s="5"/>
      <c r="LYQ18" s="2"/>
      <c r="LYR18" s="7"/>
      <c r="LYS18"/>
      <c r="LYT18"/>
      <c r="LYU18" s="10"/>
      <c r="LYV18" s="2"/>
      <c r="LYW18"/>
      <c r="LYX18" s="5"/>
      <c r="LYY18" s="2"/>
      <c r="LYZ18" s="7"/>
      <c r="LZA18"/>
      <c r="LZB18"/>
      <c r="LZC18" s="10"/>
      <c r="LZD18" s="2"/>
      <c r="LZE18"/>
      <c r="LZF18" s="5"/>
      <c r="LZG18" s="2"/>
      <c r="LZH18" s="7"/>
      <c r="LZI18"/>
      <c r="LZJ18"/>
      <c r="LZK18" s="10"/>
      <c r="LZL18" s="2"/>
      <c r="LZM18"/>
      <c r="LZN18" s="5"/>
      <c r="LZO18" s="2"/>
      <c r="LZP18" s="7"/>
      <c r="LZQ18"/>
      <c r="LZR18"/>
      <c r="LZS18" s="10"/>
      <c r="LZT18" s="2"/>
      <c r="LZU18"/>
      <c r="LZV18" s="5"/>
      <c r="LZW18" s="2"/>
      <c r="LZX18" s="7"/>
      <c r="LZY18"/>
      <c r="LZZ18"/>
      <c r="MAA18" s="10"/>
      <c r="MAB18" s="2"/>
      <c r="MAC18"/>
      <c r="MAD18" s="5"/>
      <c r="MAE18" s="2"/>
      <c r="MAF18" s="7"/>
      <c r="MAG18"/>
      <c r="MAH18"/>
      <c r="MAI18" s="10"/>
      <c r="MAJ18" s="2"/>
      <c r="MAK18"/>
      <c r="MAL18" s="5"/>
      <c r="MAM18" s="2"/>
      <c r="MAN18" s="7"/>
      <c r="MAO18"/>
      <c r="MAP18"/>
      <c r="MAQ18" s="10"/>
      <c r="MAR18" s="2"/>
      <c r="MAS18"/>
      <c r="MAT18" s="5"/>
      <c r="MAU18" s="2"/>
      <c r="MAV18" s="7"/>
      <c r="MAW18"/>
      <c r="MAX18"/>
      <c r="MAY18" s="10"/>
      <c r="MAZ18" s="2"/>
      <c r="MBA18"/>
      <c r="MBB18" s="5"/>
      <c r="MBC18" s="2"/>
      <c r="MBD18" s="7"/>
      <c r="MBE18"/>
      <c r="MBF18"/>
      <c r="MBG18" s="10"/>
      <c r="MBH18" s="2"/>
      <c r="MBI18"/>
      <c r="MBJ18" s="5"/>
      <c r="MBK18" s="2"/>
      <c r="MBL18" s="7"/>
      <c r="MBM18"/>
      <c r="MBN18"/>
      <c r="MBO18" s="10"/>
      <c r="MBP18" s="2"/>
      <c r="MBQ18"/>
      <c r="MBR18" s="5"/>
      <c r="MBS18" s="2"/>
      <c r="MBT18" s="7"/>
      <c r="MBU18"/>
      <c r="MBV18"/>
      <c r="MBW18" s="10"/>
      <c r="MBX18" s="2"/>
      <c r="MBY18"/>
      <c r="MBZ18" s="5"/>
      <c r="MCA18" s="2"/>
      <c r="MCB18" s="7"/>
      <c r="MCC18"/>
      <c r="MCD18"/>
      <c r="MCE18" s="10"/>
      <c r="MCF18" s="2"/>
      <c r="MCG18"/>
      <c r="MCH18" s="5"/>
      <c r="MCI18" s="2"/>
      <c r="MCJ18" s="7"/>
      <c r="MCK18"/>
      <c r="MCL18"/>
      <c r="MCM18" s="10"/>
      <c r="MCN18" s="2"/>
      <c r="MCO18"/>
      <c r="MCP18" s="5"/>
      <c r="MCQ18" s="2"/>
      <c r="MCR18" s="7"/>
      <c r="MCS18"/>
      <c r="MCT18"/>
      <c r="MCU18" s="10"/>
      <c r="MCV18" s="2"/>
      <c r="MCW18"/>
      <c r="MCX18" s="5"/>
      <c r="MCY18" s="2"/>
      <c r="MCZ18" s="7"/>
      <c r="MDA18"/>
      <c r="MDB18"/>
      <c r="MDC18" s="10"/>
      <c r="MDD18" s="2"/>
      <c r="MDE18"/>
      <c r="MDF18" s="5"/>
      <c r="MDG18" s="2"/>
      <c r="MDH18" s="7"/>
      <c r="MDI18"/>
      <c r="MDJ18"/>
      <c r="MDK18" s="10"/>
      <c r="MDL18" s="2"/>
      <c r="MDM18"/>
      <c r="MDN18" s="5"/>
      <c r="MDO18" s="2"/>
      <c r="MDP18" s="7"/>
      <c r="MDQ18"/>
      <c r="MDR18"/>
      <c r="MDS18" s="10"/>
      <c r="MDT18" s="2"/>
      <c r="MDU18"/>
      <c r="MDV18" s="5"/>
      <c r="MDW18" s="2"/>
      <c r="MDX18" s="7"/>
      <c r="MDY18"/>
      <c r="MDZ18"/>
      <c r="MEA18" s="10"/>
      <c r="MEB18" s="2"/>
      <c r="MEC18"/>
      <c r="MED18" s="5"/>
      <c r="MEE18" s="2"/>
      <c r="MEF18" s="7"/>
      <c r="MEG18"/>
      <c r="MEH18"/>
      <c r="MEI18" s="10"/>
      <c r="MEJ18" s="2"/>
      <c r="MEK18"/>
      <c r="MEL18" s="5"/>
      <c r="MEM18" s="2"/>
      <c r="MEN18" s="7"/>
      <c r="MEO18"/>
      <c r="MEP18"/>
      <c r="MEQ18" s="10"/>
      <c r="MER18" s="2"/>
      <c r="MES18"/>
      <c r="MET18" s="5"/>
      <c r="MEU18" s="2"/>
      <c r="MEV18" s="7"/>
      <c r="MEW18"/>
      <c r="MEX18"/>
      <c r="MEY18" s="10"/>
      <c r="MEZ18" s="2"/>
      <c r="MFA18"/>
      <c r="MFB18" s="5"/>
      <c r="MFC18" s="2"/>
      <c r="MFD18" s="7"/>
      <c r="MFE18"/>
      <c r="MFF18"/>
      <c r="MFG18" s="10"/>
      <c r="MFH18" s="2"/>
      <c r="MFI18"/>
      <c r="MFJ18" s="5"/>
      <c r="MFK18" s="2"/>
      <c r="MFL18" s="7"/>
      <c r="MFM18"/>
      <c r="MFN18"/>
      <c r="MFO18" s="10"/>
      <c r="MFP18" s="2"/>
      <c r="MFQ18"/>
      <c r="MFR18" s="5"/>
      <c r="MFS18" s="2"/>
      <c r="MFT18" s="7"/>
      <c r="MFU18"/>
      <c r="MFV18"/>
      <c r="MFW18" s="10"/>
      <c r="MFX18" s="2"/>
      <c r="MFY18"/>
      <c r="MFZ18" s="5"/>
      <c r="MGA18" s="2"/>
      <c r="MGB18" s="7"/>
      <c r="MGC18"/>
      <c r="MGD18"/>
      <c r="MGE18" s="10"/>
      <c r="MGF18" s="2"/>
      <c r="MGG18"/>
      <c r="MGH18" s="5"/>
      <c r="MGI18" s="2"/>
      <c r="MGJ18" s="7"/>
      <c r="MGK18"/>
      <c r="MGL18"/>
      <c r="MGM18" s="10"/>
      <c r="MGN18" s="2"/>
      <c r="MGO18"/>
      <c r="MGP18" s="5"/>
      <c r="MGQ18" s="2"/>
      <c r="MGR18" s="7"/>
      <c r="MGS18"/>
      <c r="MGT18"/>
      <c r="MGU18" s="10"/>
      <c r="MGV18" s="2"/>
      <c r="MGW18"/>
      <c r="MGX18" s="5"/>
      <c r="MGY18" s="2"/>
      <c r="MGZ18" s="7"/>
      <c r="MHA18"/>
      <c r="MHB18"/>
      <c r="MHC18" s="10"/>
      <c r="MHD18" s="2"/>
      <c r="MHE18"/>
      <c r="MHF18" s="5"/>
      <c r="MHG18" s="2"/>
      <c r="MHH18" s="7"/>
      <c r="MHI18"/>
      <c r="MHJ18"/>
      <c r="MHK18" s="10"/>
      <c r="MHL18" s="2"/>
      <c r="MHM18"/>
      <c r="MHN18" s="5"/>
      <c r="MHO18" s="2"/>
      <c r="MHP18" s="7"/>
      <c r="MHQ18"/>
      <c r="MHR18"/>
      <c r="MHS18" s="10"/>
      <c r="MHT18" s="2"/>
      <c r="MHU18"/>
      <c r="MHV18" s="5"/>
      <c r="MHW18" s="2"/>
      <c r="MHX18" s="7"/>
      <c r="MHY18"/>
      <c r="MHZ18"/>
      <c r="MIA18" s="10"/>
      <c r="MIB18" s="2"/>
      <c r="MIC18"/>
      <c r="MID18" s="5"/>
      <c r="MIE18" s="2"/>
      <c r="MIF18" s="7"/>
      <c r="MIG18"/>
      <c r="MIH18"/>
      <c r="MII18" s="10"/>
      <c r="MIJ18" s="2"/>
      <c r="MIK18"/>
      <c r="MIL18" s="5"/>
      <c r="MIM18" s="2"/>
      <c r="MIN18" s="7"/>
      <c r="MIO18"/>
      <c r="MIP18"/>
      <c r="MIQ18" s="10"/>
      <c r="MIR18" s="2"/>
      <c r="MIS18"/>
      <c r="MIT18" s="5"/>
      <c r="MIU18" s="2"/>
      <c r="MIV18" s="7"/>
      <c r="MIW18"/>
      <c r="MIX18"/>
      <c r="MIY18" s="10"/>
      <c r="MIZ18" s="2"/>
      <c r="MJA18"/>
      <c r="MJB18" s="5"/>
      <c r="MJC18" s="2"/>
      <c r="MJD18" s="7"/>
      <c r="MJE18"/>
      <c r="MJF18"/>
      <c r="MJG18" s="10"/>
      <c r="MJH18" s="2"/>
      <c r="MJI18"/>
      <c r="MJJ18" s="5"/>
      <c r="MJK18" s="2"/>
      <c r="MJL18" s="7"/>
      <c r="MJM18"/>
      <c r="MJN18"/>
      <c r="MJO18" s="10"/>
      <c r="MJP18" s="2"/>
      <c r="MJQ18"/>
      <c r="MJR18" s="5"/>
      <c r="MJS18" s="2"/>
      <c r="MJT18" s="7"/>
      <c r="MJU18"/>
      <c r="MJV18"/>
      <c r="MJW18" s="10"/>
      <c r="MJX18" s="2"/>
      <c r="MJY18"/>
      <c r="MJZ18" s="5"/>
      <c r="MKA18" s="2"/>
      <c r="MKB18" s="7"/>
      <c r="MKC18"/>
      <c r="MKD18"/>
      <c r="MKE18" s="10"/>
      <c r="MKF18" s="2"/>
      <c r="MKG18"/>
      <c r="MKH18" s="5"/>
      <c r="MKI18" s="2"/>
      <c r="MKJ18" s="7"/>
      <c r="MKK18"/>
      <c r="MKL18"/>
      <c r="MKM18" s="10"/>
      <c r="MKN18" s="2"/>
      <c r="MKO18"/>
      <c r="MKP18" s="5"/>
      <c r="MKQ18" s="2"/>
      <c r="MKR18" s="7"/>
      <c r="MKS18"/>
      <c r="MKT18"/>
      <c r="MKU18" s="10"/>
      <c r="MKV18" s="2"/>
      <c r="MKW18"/>
      <c r="MKX18" s="5"/>
      <c r="MKY18" s="2"/>
      <c r="MKZ18" s="7"/>
      <c r="MLA18"/>
      <c r="MLB18"/>
      <c r="MLC18" s="10"/>
      <c r="MLD18" s="2"/>
      <c r="MLE18"/>
      <c r="MLF18" s="5"/>
      <c r="MLG18" s="2"/>
      <c r="MLH18" s="7"/>
      <c r="MLI18"/>
      <c r="MLJ18"/>
      <c r="MLK18" s="10"/>
      <c r="MLL18" s="2"/>
      <c r="MLM18"/>
      <c r="MLN18" s="5"/>
      <c r="MLO18" s="2"/>
      <c r="MLP18" s="7"/>
      <c r="MLQ18"/>
      <c r="MLR18"/>
      <c r="MLS18" s="10"/>
      <c r="MLT18" s="2"/>
      <c r="MLU18"/>
      <c r="MLV18" s="5"/>
      <c r="MLW18" s="2"/>
      <c r="MLX18" s="7"/>
      <c r="MLY18"/>
      <c r="MLZ18"/>
      <c r="MMA18" s="10"/>
      <c r="MMB18" s="2"/>
      <c r="MMC18"/>
      <c r="MMD18" s="5"/>
      <c r="MME18" s="2"/>
      <c r="MMF18" s="7"/>
      <c r="MMG18"/>
      <c r="MMH18"/>
      <c r="MMI18" s="10"/>
      <c r="MMJ18" s="2"/>
      <c r="MMK18"/>
      <c r="MML18" s="5"/>
      <c r="MMM18" s="2"/>
      <c r="MMN18" s="7"/>
      <c r="MMO18"/>
      <c r="MMP18"/>
      <c r="MMQ18" s="10"/>
      <c r="MMR18" s="2"/>
      <c r="MMS18"/>
      <c r="MMT18" s="5"/>
      <c r="MMU18" s="2"/>
      <c r="MMV18" s="7"/>
      <c r="MMW18"/>
      <c r="MMX18"/>
      <c r="MMY18" s="10"/>
      <c r="MMZ18" s="2"/>
      <c r="MNA18"/>
      <c r="MNB18" s="5"/>
      <c r="MNC18" s="2"/>
      <c r="MND18" s="7"/>
      <c r="MNE18"/>
      <c r="MNF18"/>
      <c r="MNG18" s="10"/>
      <c r="MNH18" s="2"/>
      <c r="MNI18"/>
      <c r="MNJ18" s="5"/>
      <c r="MNK18" s="2"/>
      <c r="MNL18" s="7"/>
      <c r="MNM18"/>
      <c r="MNN18"/>
      <c r="MNO18" s="10"/>
      <c r="MNP18" s="2"/>
      <c r="MNQ18"/>
      <c r="MNR18" s="5"/>
      <c r="MNS18" s="2"/>
      <c r="MNT18" s="7"/>
      <c r="MNU18"/>
      <c r="MNV18"/>
      <c r="MNW18" s="10"/>
      <c r="MNX18" s="2"/>
      <c r="MNY18"/>
      <c r="MNZ18" s="5"/>
      <c r="MOA18" s="2"/>
      <c r="MOB18" s="7"/>
      <c r="MOC18"/>
      <c r="MOD18"/>
      <c r="MOE18" s="10"/>
      <c r="MOF18" s="2"/>
      <c r="MOG18"/>
      <c r="MOH18" s="5"/>
      <c r="MOI18" s="2"/>
      <c r="MOJ18" s="7"/>
      <c r="MOK18"/>
      <c r="MOL18"/>
      <c r="MOM18" s="10"/>
      <c r="MON18" s="2"/>
      <c r="MOO18"/>
      <c r="MOP18" s="5"/>
      <c r="MOQ18" s="2"/>
      <c r="MOR18" s="7"/>
      <c r="MOS18"/>
      <c r="MOT18"/>
      <c r="MOU18" s="10"/>
      <c r="MOV18" s="2"/>
      <c r="MOW18"/>
      <c r="MOX18" s="5"/>
      <c r="MOY18" s="2"/>
      <c r="MOZ18" s="7"/>
      <c r="MPA18"/>
      <c r="MPB18"/>
      <c r="MPC18" s="10"/>
      <c r="MPD18" s="2"/>
      <c r="MPE18"/>
      <c r="MPF18" s="5"/>
      <c r="MPG18" s="2"/>
      <c r="MPH18" s="7"/>
      <c r="MPI18"/>
      <c r="MPJ18"/>
      <c r="MPK18" s="10"/>
      <c r="MPL18" s="2"/>
      <c r="MPM18"/>
      <c r="MPN18" s="5"/>
      <c r="MPO18" s="2"/>
      <c r="MPP18" s="7"/>
      <c r="MPQ18"/>
      <c r="MPR18"/>
      <c r="MPS18" s="10"/>
      <c r="MPT18" s="2"/>
      <c r="MPU18"/>
      <c r="MPV18" s="5"/>
      <c r="MPW18" s="2"/>
      <c r="MPX18" s="7"/>
      <c r="MPY18"/>
      <c r="MPZ18"/>
      <c r="MQA18" s="10"/>
      <c r="MQB18" s="2"/>
      <c r="MQC18"/>
      <c r="MQD18" s="5"/>
      <c r="MQE18" s="2"/>
      <c r="MQF18" s="7"/>
      <c r="MQG18"/>
      <c r="MQH18"/>
      <c r="MQI18" s="10"/>
      <c r="MQJ18" s="2"/>
      <c r="MQK18"/>
      <c r="MQL18" s="5"/>
      <c r="MQM18" s="2"/>
      <c r="MQN18" s="7"/>
      <c r="MQO18"/>
      <c r="MQP18"/>
      <c r="MQQ18" s="10"/>
      <c r="MQR18" s="2"/>
      <c r="MQS18"/>
      <c r="MQT18" s="5"/>
      <c r="MQU18" s="2"/>
      <c r="MQV18" s="7"/>
      <c r="MQW18"/>
      <c r="MQX18"/>
      <c r="MQY18" s="10"/>
      <c r="MQZ18" s="2"/>
      <c r="MRA18"/>
      <c r="MRB18" s="5"/>
      <c r="MRC18" s="2"/>
      <c r="MRD18" s="7"/>
      <c r="MRE18"/>
      <c r="MRF18"/>
      <c r="MRG18" s="10"/>
      <c r="MRH18" s="2"/>
      <c r="MRI18"/>
      <c r="MRJ18" s="5"/>
      <c r="MRK18" s="2"/>
      <c r="MRL18" s="7"/>
      <c r="MRM18"/>
      <c r="MRN18"/>
      <c r="MRO18" s="10"/>
      <c r="MRP18" s="2"/>
      <c r="MRQ18"/>
      <c r="MRR18" s="5"/>
      <c r="MRS18" s="2"/>
      <c r="MRT18" s="7"/>
      <c r="MRU18"/>
      <c r="MRV18"/>
      <c r="MRW18" s="10"/>
      <c r="MRX18" s="2"/>
      <c r="MRY18"/>
      <c r="MRZ18" s="5"/>
      <c r="MSA18" s="2"/>
      <c r="MSB18" s="7"/>
      <c r="MSC18"/>
      <c r="MSD18"/>
      <c r="MSE18" s="10"/>
      <c r="MSF18" s="2"/>
      <c r="MSG18"/>
      <c r="MSH18" s="5"/>
      <c r="MSI18" s="2"/>
      <c r="MSJ18" s="7"/>
      <c r="MSK18"/>
      <c r="MSL18"/>
      <c r="MSM18" s="10"/>
      <c r="MSN18" s="2"/>
      <c r="MSO18"/>
      <c r="MSP18" s="5"/>
      <c r="MSQ18" s="2"/>
      <c r="MSR18" s="7"/>
      <c r="MSS18"/>
      <c r="MST18"/>
      <c r="MSU18" s="10"/>
      <c r="MSV18" s="2"/>
      <c r="MSW18"/>
      <c r="MSX18" s="5"/>
      <c r="MSY18" s="2"/>
      <c r="MSZ18" s="7"/>
      <c r="MTA18"/>
      <c r="MTB18"/>
      <c r="MTC18" s="10"/>
      <c r="MTD18" s="2"/>
      <c r="MTE18"/>
      <c r="MTF18" s="5"/>
      <c r="MTG18" s="2"/>
      <c r="MTH18" s="7"/>
      <c r="MTI18"/>
      <c r="MTJ18"/>
      <c r="MTK18" s="10"/>
      <c r="MTL18" s="2"/>
      <c r="MTM18"/>
      <c r="MTN18" s="5"/>
      <c r="MTO18" s="2"/>
      <c r="MTP18" s="7"/>
      <c r="MTQ18"/>
      <c r="MTR18"/>
      <c r="MTS18" s="10"/>
      <c r="MTT18" s="2"/>
      <c r="MTU18"/>
      <c r="MTV18" s="5"/>
      <c r="MTW18" s="2"/>
      <c r="MTX18" s="7"/>
      <c r="MTY18"/>
      <c r="MTZ18"/>
      <c r="MUA18" s="10"/>
      <c r="MUB18" s="2"/>
      <c r="MUC18"/>
      <c r="MUD18" s="5"/>
      <c r="MUE18" s="2"/>
      <c r="MUF18" s="7"/>
      <c r="MUG18"/>
      <c r="MUH18"/>
      <c r="MUI18" s="10"/>
      <c r="MUJ18" s="2"/>
      <c r="MUK18"/>
      <c r="MUL18" s="5"/>
      <c r="MUM18" s="2"/>
      <c r="MUN18" s="7"/>
      <c r="MUO18"/>
      <c r="MUP18"/>
      <c r="MUQ18" s="10"/>
      <c r="MUR18" s="2"/>
      <c r="MUS18"/>
      <c r="MUT18" s="5"/>
      <c r="MUU18" s="2"/>
      <c r="MUV18" s="7"/>
      <c r="MUW18"/>
      <c r="MUX18"/>
      <c r="MUY18" s="10"/>
      <c r="MUZ18" s="2"/>
      <c r="MVA18"/>
      <c r="MVB18" s="5"/>
      <c r="MVC18" s="2"/>
      <c r="MVD18" s="7"/>
      <c r="MVE18"/>
      <c r="MVF18"/>
      <c r="MVG18" s="10"/>
      <c r="MVH18" s="2"/>
      <c r="MVI18"/>
      <c r="MVJ18" s="5"/>
      <c r="MVK18" s="2"/>
      <c r="MVL18" s="7"/>
      <c r="MVM18"/>
      <c r="MVN18"/>
      <c r="MVO18" s="10"/>
      <c r="MVP18" s="2"/>
      <c r="MVQ18"/>
      <c r="MVR18" s="5"/>
      <c r="MVS18" s="2"/>
      <c r="MVT18" s="7"/>
      <c r="MVU18"/>
      <c r="MVV18"/>
      <c r="MVW18" s="10"/>
      <c r="MVX18" s="2"/>
      <c r="MVY18"/>
      <c r="MVZ18" s="5"/>
      <c r="MWA18" s="2"/>
      <c r="MWB18" s="7"/>
      <c r="MWC18"/>
      <c r="MWD18"/>
      <c r="MWE18" s="10"/>
      <c r="MWF18" s="2"/>
      <c r="MWG18"/>
      <c r="MWH18" s="5"/>
      <c r="MWI18" s="2"/>
      <c r="MWJ18" s="7"/>
      <c r="MWK18"/>
      <c r="MWL18"/>
      <c r="MWM18" s="10"/>
      <c r="MWN18" s="2"/>
      <c r="MWO18"/>
      <c r="MWP18" s="5"/>
      <c r="MWQ18" s="2"/>
      <c r="MWR18" s="7"/>
      <c r="MWS18"/>
      <c r="MWT18"/>
      <c r="MWU18" s="10"/>
      <c r="MWV18" s="2"/>
      <c r="MWW18"/>
      <c r="MWX18" s="5"/>
      <c r="MWY18" s="2"/>
      <c r="MWZ18" s="7"/>
      <c r="MXA18"/>
      <c r="MXB18"/>
      <c r="MXC18" s="10"/>
      <c r="MXD18" s="2"/>
      <c r="MXE18"/>
      <c r="MXF18" s="5"/>
      <c r="MXG18" s="2"/>
      <c r="MXH18" s="7"/>
      <c r="MXI18"/>
      <c r="MXJ18"/>
      <c r="MXK18" s="10"/>
      <c r="MXL18" s="2"/>
      <c r="MXM18"/>
      <c r="MXN18" s="5"/>
      <c r="MXO18" s="2"/>
      <c r="MXP18" s="7"/>
      <c r="MXQ18"/>
      <c r="MXR18"/>
      <c r="MXS18" s="10"/>
      <c r="MXT18" s="2"/>
      <c r="MXU18"/>
      <c r="MXV18" s="5"/>
      <c r="MXW18" s="2"/>
      <c r="MXX18" s="7"/>
      <c r="MXY18"/>
      <c r="MXZ18"/>
      <c r="MYA18" s="10"/>
      <c r="MYB18" s="2"/>
      <c r="MYC18"/>
      <c r="MYD18" s="5"/>
      <c r="MYE18" s="2"/>
      <c r="MYF18" s="7"/>
      <c r="MYG18"/>
      <c r="MYH18"/>
      <c r="MYI18" s="10"/>
      <c r="MYJ18" s="2"/>
      <c r="MYK18"/>
      <c r="MYL18" s="5"/>
      <c r="MYM18" s="2"/>
      <c r="MYN18" s="7"/>
      <c r="MYO18"/>
      <c r="MYP18"/>
      <c r="MYQ18" s="10"/>
      <c r="MYR18" s="2"/>
      <c r="MYS18"/>
      <c r="MYT18" s="5"/>
      <c r="MYU18" s="2"/>
      <c r="MYV18" s="7"/>
      <c r="MYW18"/>
      <c r="MYX18"/>
      <c r="MYY18" s="10"/>
      <c r="MYZ18" s="2"/>
      <c r="MZA18"/>
      <c r="MZB18" s="5"/>
      <c r="MZC18" s="2"/>
      <c r="MZD18" s="7"/>
      <c r="MZE18"/>
      <c r="MZF18"/>
      <c r="MZG18" s="10"/>
      <c r="MZH18" s="2"/>
      <c r="MZI18"/>
      <c r="MZJ18" s="5"/>
      <c r="MZK18" s="2"/>
      <c r="MZL18" s="7"/>
      <c r="MZM18"/>
      <c r="MZN18"/>
      <c r="MZO18" s="10"/>
      <c r="MZP18" s="2"/>
      <c r="MZQ18"/>
      <c r="MZR18" s="5"/>
      <c r="MZS18" s="2"/>
      <c r="MZT18" s="7"/>
      <c r="MZU18"/>
      <c r="MZV18"/>
      <c r="MZW18" s="10"/>
      <c r="MZX18" s="2"/>
      <c r="MZY18"/>
      <c r="MZZ18" s="5"/>
      <c r="NAA18" s="2"/>
      <c r="NAB18" s="7"/>
      <c r="NAC18"/>
      <c r="NAD18"/>
      <c r="NAE18" s="10"/>
      <c r="NAF18" s="2"/>
      <c r="NAG18"/>
      <c r="NAH18" s="5"/>
      <c r="NAI18" s="2"/>
      <c r="NAJ18" s="7"/>
      <c r="NAK18"/>
      <c r="NAL18"/>
      <c r="NAM18" s="10"/>
      <c r="NAN18" s="2"/>
      <c r="NAO18"/>
      <c r="NAP18" s="5"/>
      <c r="NAQ18" s="2"/>
      <c r="NAR18" s="7"/>
      <c r="NAS18"/>
      <c r="NAT18"/>
      <c r="NAU18" s="10"/>
      <c r="NAV18" s="2"/>
      <c r="NAW18"/>
      <c r="NAX18" s="5"/>
      <c r="NAY18" s="2"/>
      <c r="NAZ18" s="7"/>
      <c r="NBA18"/>
      <c r="NBB18"/>
      <c r="NBC18" s="10"/>
      <c r="NBD18" s="2"/>
      <c r="NBE18"/>
      <c r="NBF18" s="5"/>
      <c r="NBG18" s="2"/>
      <c r="NBH18" s="7"/>
      <c r="NBI18"/>
      <c r="NBJ18"/>
      <c r="NBK18" s="10"/>
      <c r="NBL18" s="2"/>
      <c r="NBM18"/>
      <c r="NBN18" s="5"/>
      <c r="NBO18" s="2"/>
      <c r="NBP18" s="7"/>
      <c r="NBQ18"/>
      <c r="NBR18"/>
      <c r="NBS18" s="10"/>
      <c r="NBT18" s="2"/>
      <c r="NBU18"/>
      <c r="NBV18" s="5"/>
      <c r="NBW18" s="2"/>
      <c r="NBX18" s="7"/>
      <c r="NBY18"/>
      <c r="NBZ18"/>
      <c r="NCA18" s="10"/>
      <c r="NCB18" s="2"/>
      <c r="NCC18"/>
      <c r="NCD18" s="5"/>
      <c r="NCE18" s="2"/>
      <c r="NCF18" s="7"/>
      <c r="NCG18"/>
      <c r="NCH18"/>
      <c r="NCI18" s="10"/>
      <c r="NCJ18" s="2"/>
      <c r="NCK18"/>
      <c r="NCL18" s="5"/>
      <c r="NCM18" s="2"/>
      <c r="NCN18" s="7"/>
      <c r="NCO18"/>
      <c r="NCP18"/>
      <c r="NCQ18" s="10"/>
      <c r="NCR18" s="2"/>
      <c r="NCS18"/>
      <c r="NCT18" s="5"/>
      <c r="NCU18" s="2"/>
      <c r="NCV18" s="7"/>
      <c r="NCW18"/>
      <c r="NCX18"/>
      <c r="NCY18" s="10"/>
      <c r="NCZ18" s="2"/>
      <c r="NDA18"/>
      <c r="NDB18" s="5"/>
      <c r="NDC18" s="2"/>
      <c r="NDD18" s="7"/>
      <c r="NDE18"/>
      <c r="NDF18"/>
      <c r="NDG18" s="10"/>
      <c r="NDH18" s="2"/>
      <c r="NDI18"/>
      <c r="NDJ18" s="5"/>
      <c r="NDK18" s="2"/>
      <c r="NDL18" s="7"/>
      <c r="NDM18"/>
      <c r="NDN18"/>
      <c r="NDO18" s="10"/>
      <c r="NDP18" s="2"/>
      <c r="NDQ18"/>
      <c r="NDR18" s="5"/>
      <c r="NDS18" s="2"/>
      <c r="NDT18" s="7"/>
      <c r="NDU18"/>
      <c r="NDV18"/>
      <c r="NDW18" s="10"/>
      <c r="NDX18" s="2"/>
      <c r="NDY18"/>
      <c r="NDZ18" s="5"/>
      <c r="NEA18" s="2"/>
      <c r="NEB18" s="7"/>
      <c r="NEC18"/>
      <c r="NED18"/>
      <c r="NEE18" s="10"/>
      <c r="NEF18" s="2"/>
      <c r="NEG18"/>
      <c r="NEH18" s="5"/>
      <c r="NEI18" s="2"/>
      <c r="NEJ18" s="7"/>
      <c r="NEK18"/>
      <c r="NEL18"/>
      <c r="NEM18" s="10"/>
      <c r="NEN18" s="2"/>
      <c r="NEO18"/>
      <c r="NEP18" s="5"/>
      <c r="NEQ18" s="2"/>
      <c r="NER18" s="7"/>
      <c r="NES18"/>
      <c r="NET18"/>
      <c r="NEU18" s="10"/>
      <c r="NEV18" s="2"/>
      <c r="NEW18"/>
      <c r="NEX18" s="5"/>
      <c r="NEY18" s="2"/>
      <c r="NEZ18" s="7"/>
      <c r="NFA18"/>
      <c r="NFB18"/>
      <c r="NFC18" s="10"/>
      <c r="NFD18" s="2"/>
      <c r="NFE18"/>
      <c r="NFF18" s="5"/>
      <c r="NFG18" s="2"/>
      <c r="NFH18" s="7"/>
      <c r="NFI18"/>
      <c r="NFJ18"/>
      <c r="NFK18" s="10"/>
      <c r="NFL18" s="2"/>
      <c r="NFM18"/>
      <c r="NFN18" s="5"/>
      <c r="NFO18" s="2"/>
      <c r="NFP18" s="7"/>
      <c r="NFQ18"/>
      <c r="NFR18"/>
      <c r="NFS18" s="10"/>
      <c r="NFT18" s="2"/>
      <c r="NFU18"/>
      <c r="NFV18" s="5"/>
      <c r="NFW18" s="2"/>
      <c r="NFX18" s="7"/>
      <c r="NFY18"/>
      <c r="NFZ18"/>
      <c r="NGA18" s="10"/>
      <c r="NGB18" s="2"/>
      <c r="NGC18"/>
      <c r="NGD18" s="5"/>
      <c r="NGE18" s="2"/>
      <c r="NGF18" s="7"/>
      <c r="NGG18"/>
      <c r="NGH18"/>
      <c r="NGI18" s="10"/>
      <c r="NGJ18" s="2"/>
      <c r="NGK18"/>
      <c r="NGL18" s="5"/>
      <c r="NGM18" s="2"/>
      <c r="NGN18" s="7"/>
      <c r="NGO18"/>
      <c r="NGP18"/>
      <c r="NGQ18" s="10"/>
      <c r="NGR18" s="2"/>
      <c r="NGS18"/>
      <c r="NGT18" s="5"/>
      <c r="NGU18" s="2"/>
      <c r="NGV18" s="7"/>
      <c r="NGW18"/>
      <c r="NGX18"/>
      <c r="NGY18" s="10"/>
      <c r="NGZ18" s="2"/>
      <c r="NHA18"/>
      <c r="NHB18" s="5"/>
      <c r="NHC18" s="2"/>
      <c r="NHD18" s="7"/>
      <c r="NHE18"/>
      <c r="NHF18"/>
      <c r="NHG18" s="10"/>
      <c r="NHH18" s="2"/>
      <c r="NHI18"/>
      <c r="NHJ18" s="5"/>
      <c r="NHK18" s="2"/>
      <c r="NHL18" s="7"/>
      <c r="NHM18"/>
      <c r="NHN18"/>
      <c r="NHO18" s="10"/>
      <c r="NHP18" s="2"/>
      <c r="NHQ18"/>
      <c r="NHR18" s="5"/>
      <c r="NHS18" s="2"/>
      <c r="NHT18" s="7"/>
      <c r="NHU18"/>
      <c r="NHV18"/>
      <c r="NHW18" s="10"/>
      <c r="NHX18" s="2"/>
      <c r="NHY18"/>
      <c r="NHZ18" s="5"/>
      <c r="NIA18" s="2"/>
      <c r="NIB18" s="7"/>
      <c r="NIC18"/>
      <c r="NID18"/>
      <c r="NIE18" s="10"/>
      <c r="NIF18" s="2"/>
      <c r="NIG18"/>
      <c r="NIH18" s="5"/>
      <c r="NII18" s="2"/>
      <c r="NIJ18" s="7"/>
      <c r="NIK18"/>
      <c r="NIL18"/>
      <c r="NIM18" s="10"/>
      <c r="NIN18" s="2"/>
      <c r="NIO18"/>
      <c r="NIP18" s="5"/>
      <c r="NIQ18" s="2"/>
      <c r="NIR18" s="7"/>
      <c r="NIS18"/>
      <c r="NIT18"/>
      <c r="NIU18" s="10"/>
      <c r="NIV18" s="2"/>
      <c r="NIW18"/>
      <c r="NIX18" s="5"/>
      <c r="NIY18" s="2"/>
      <c r="NIZ18" s="7"/>
      <c r="NJA18"/>
      <c r="NJB18"/>
      <c r="NJC18" s="10"/>
      <c r="NJD18" s="2"/>
      <c r="NJE18"/>
      <c r="NJF18" s="5"/>
      <c r="NJG18" s="2"/>
      <c r="NJH18" s="7"/>
      <c r="NJI18"/>
      <c r="NJJ18"/>
      <c r="NJK18" s="10"/>
      <c r="NJL18" s="2"/>
      <c r="NJM18"/>
      <c r="NJN18" s="5"/>
      <c r="NJO18" s="2"/>
      <c r="NJP18" s="7"/>
      <c r="NJQ18"/>
      <c r="NJR18"/>
      <c r="NJS18" s="10"/>
      <c r="NJT18" s="2"/>
      <c r="NJU18"/>
      <c r="NJV18" s="5"/>
      <c r="NJW18" s="2"/>
      <c r="NJX18" s="7"/>
      <c r="NJY18"/>
      <c r="NJZ18"/>
      <c r="NKA18" s="10"/>
      <c r="NKB18" s="2"/>
      <c r="NKC18"/>
      <c r="NKD18" s="5"/>
      <c r="NKE18" s="2"/>
      <c r="NKF18" s="7"/>
      <c r="NKG18"/>
      <c r="NKH18"/>
      <c r="NKI18" s="10"/>
      <c r="NKJ18" s="2"/>
      <c r="NKK18"/>
      <c r="NKL18" s="5"/>
      <c r="NKM18" s="2"/>
      <c r="NKN18" s="7"/>
      <c r="NKO18"/>
      <c r="NKP18"/>
      <c r="NKQ18" s="10"/>
      <c r="NKR18" s="2"/>
      <c r="NKS18"/>
      <c r="NKT18" s="5"/>
      <c r="NKU18" s="2"/>
      <c r="NKV18" s="7"/>
      <c r="NKW18"/>
      <c r="NKX18"/>
      <c r="NKY18" s="10"/>
      <c r="NKZ18" s="2"/>
      <c r="NLA18"/>
      <c r="NLB18" s="5"/>
      <c r="NLC18" s="2"/>
      <c r="NLD18" s="7"/>
      <c r="NLE18"/>
      <c r="NLF18"/>
      <c r="NLG18" s="10"/>
      <c r="NLH18" s="2"/>
      <c r="NLI18"/>
      <c r="NLJ18" s="5"/>
      <c r="NLK18" s="2"/>
      <c r="NLL18" s="7"/>
      <c r="NLM18"/>
      <c r="NLN18"/>
      <c r="NLO18" s="10"/>
      <c r="NLP18" s="2"/>
      <c r="NLQ18"/>
      <c r="NLR18" s="5"/>
      <c r="NLS18" s="2"/>
      <c r="NLT18" s="7"/>
      <c r="NLU18"/>
      <c r="NLV18"/>
      <c r="NLW18" s="10"/>
      <c r="NLX18" s="2"/>
      <c r="NLY18"/>
      <c r="NLZ18" s="5"/>
      <c r="NMA18" s="2"/>
      <c r="NMB18" s="7"/>
      <c r="NMC18"/>
      <c r="NMD18"/>
      <c r="NME18" s="10"/>
      <c r="NMF18" s="2"/>
      <c r="NMG18"/>
      <c r="NMH18" s="5"/>
      <c r="NMI18" s="2"/>
      <c r="NMJ18" s="7"/>
      <c r="NMK18"/>
      <c r="NML18"/>
      <c r="NMM18" s="10"/>
      <c r="NMN18" s="2"/>
      <c r="NMO18"/>
      <c r="NMP18" s="5"/>
      <c r="NMQ18" s="2"/>
      <c r="NMR18" s="7"/>
      <c r="NMS18"/>
      <c r="NMT18"/>
      <c r="NMU18" s="10"/>
      <c r="NMV18" s="2"/>
      <c r="NMW18"/>
      <c r="NMX18" s="5"/>
      <c r="NMY18" s="2"/>
      <c r="NMZ18" s="7"/>
      <c r="NNA18"/>
      <c r="NNB18"/>
      <c r="NNC18" s="10"/>
      <c r="NND18" s="2"/>
      <c r="NNE18"/>
      <c r="NNF18" s="5"/>
      <c r="NNG18" s="2"/>
      <c r="NNH18" s="7"/>
      <c r="NNI18"/>
      <c r="NNJ18"/>
      <c r="NNK18" s="10"/>
      <c r="NNL18" s="2"/>
      <c r="NNM18"/>
      <c r="NNN18" s="5"/>
      <c r="NNO18" s="2"/>
      <c r="NNP18" s="7"/>
      <c r="NNQ18"/>
      <c r="NNR18"/>
      <c r="NNS18" s="10"/>
      <c r="NNT18" s="2"/>
      <c r="NNU18"/>
      <c r="NNV18" s="5"/>
      <c r="NNW18" s="2"/>
      <c r="NNX18" s="7"/>
      <c r="NNY18"/>
      <c r="NNZ18"/>
      <c r="NOA18" s="10"/>
      <c r="NOB18" s="2"/>
      <c r="NOC18"/>
      <c r="NOD18" s="5"/>
      <c r="NOE18" s="2"/>
      <c r="NOF18" s="7"/>
      <c r="NOG18"/>
      <c r="NOH18"/>
      <c r="NOI18" s="10"/>
      <c r="NOJ18" s="2"/>
      <c r="NOK18"/>
      <c r="NOL18" s="5"/>
      <c r="NOM18" s="2"/>
      <c r="NON18" s="7"/>
      <c r="NOO18"/>
      <c r="NOP18"/>
      <c r="NOQ18" s="10"/>
      <c r="NOR18" s="2"/>
      <c r="NOS18"/>
      <c r="NOT18" s="5"/>
      <c r="NOU18" s="2"/>
      <c r="NOV18" s="7"/>
      <c r="NOW18"/>
      <c r="NOX18"/>
      <c r="NOY18" s="10"/>
      <c r="NOZ18" s="2"/>
      <c r="NPA18"/>
      <c r="NPB18" s="5"/>
      <c r="NPC18" s="2"/>
      <c r="NPD18" s="7"/>
      <c r="NPE18"/>
      <c r="NPF18"/>
      <c r="NPG18" s="10"/>
      <c r="NPH18" s="2"/>
      <c r="NPI18"/>
      <c r="NPJ18" s="5"/>
      <c r="NPK18" s="2"/>
      <c r="NPL18" s="7"/>
      <c r="NPM18"/>
      <c r="NPN18"/>
      <c r="NPO18" s="10"/>
      <c r="NPP18" s="2"/>
      <c r="NPQ18"/>
      <c r="NPR18" s="5"/>
      <c r="NPS18" s="2"/>
      <c r="NPT18" s="7"/>
      <c r="NPU18"/>
      <c r="NPV18"/>
      <c r="NPW18" s="10"/>
      <c r="NPX18" s="2"/>
      <c r="NPY18"/>
      <c r="NPZ18" s="5"/>
      <c r="NQA18" s="2"/>
      <c r="NQB18" s="7"/>
      <c r="NQC18"/>
      <c r="NQD18"/>
      <c r="NQE18" s="10"/>
      <c r="NQF18" s="2"/>
      <c r="NQG18"/>
      <c r="NQH18" s="5"/>
      <c r="NQI18" s="2"/>
      <c r="NQJ18" s="7"/>
      <c r="NQK18"/>
      <c r="NQL18"/>
      <c r="NQM18" s="10"/>
      <c r="NQN18" s="2"/>
      <c r="NQO18"/>
      <c r="NQP18" s="5"/>
      <c r="NQQ18" s="2"/>
      <c r="NQR18" s="7"/>
      <c r="NQS18"/>
      <c r="NQT18"/>
      <c r="NQU18" s="10"/>
      <c r="NQV18" s="2"/>
      <c r="NQW18"/>
      <c r="NQX18" s="5"/>
      <c r="NQY18" s="2"/>
      <c r="NQZ18" s="7"/>
      <c r="NRA18"/>
      <c r="NRB18"/>
      <c r="NRC18" s="10"/>
      <c r="NRD18" s="2"/>
      <c r="NRE18"/>
      <c r="NRF18" s="5"/>
      <c r="NRG18" s="2"/>
      <c r="NRH18" s="7"/>
      <c r="NRI18"/>
      <c r="NRJ18"/>
      <c r="NRK18" s="10"/>
      <c r="NRL18" s="2"/>
      <c r="NRM18"/>
      <c r="NRN18" s="5"/>
      <c r="NRO18" s="2"/>
      <c r="NRP18" s="7"/>
      <c r="NRQ18"/>
      <c r="NRR18"/>
      <c r="NRS18" s="10"/>
      <c r="NRT18" s="2"/>
      <c r="NRU18"/>
      <c r="NRV18" s="5"/>
      <c r="NRW18" s="2"/>
      <c r="NRX18" s="7"/>
      <c r="NRY18"/>
      <c r="NRZ18"/>
      <c r="NSA18" s="10"/>
      <c r="NSB18" s="2"/>
      <c r="NSC18"/>
      <c r="NSD18" s="5"/>
      <c r="NSE18" s="2"/>
      <c r="NSF18" s="7"/>
      <c r="NSG18"/>
      <c r="NSH18"/>
      <c r="NSI18" s="10"/>
      <c r="NSJ18" s="2"/>
      <c r="NSK18"/>
      <c r="NSL18" s="5"/>
      <c r="NSM18" s="2"/>
      <c r="NSN18" s="7"/>
      <c r="NSO18"/>
      <c r="NSP18"/>
      <c r="NSQ18" s="10"/>
      <c r="NSR18" s="2"/>
      <c r="NSS18"/>
      <c r="NST18" s="5"/>
      <c r="NSU18" s="2"/>
      <c r="NSV18" s="7"/>
      <c r="NSW18"/>
      <c r="NSX18"/>
      <c r="NSY18" s="10"/>
      <c r="NSZ18" s="2"/>
      <c r="NTA18"/>
      <c r="NTB18" s="5"/>
      <c r="NTC18" s="2"/>
      <c r="NTD18" s="7"/>
      <c r="NTE18"/>
      <c r="NTF18"/>
      <c r="NTG18" s="10"/>
      <c r="NTH18" s="2"/>
      <c r="NTI18"/>
      <c r="NTJ18" s="5"/>
      <c r="NTK18" s="2"/>
      <c r="NTL18" s="7"/>
      <c r="NTM18"/>
      <c r="NTN18"/>
      <c r="NTO18" s="10"/>
      <c r="NTP18" s="2"/>
      <c r="NTQ18"/>
      <c r="NTR18" s="5"/>
      <c r="NTS18" s="2"/>
      <c r="NTT18" s="7"/>
      <c r="NTU18"/>
      <c r="NTV18"/>
      <c r="NTW18" s="10"/>
      <c r="NTX18" s="2"/>
      <c r="NTY18"/>
      <c r="NTZ18" s="5"/>
      <c r="NUA18" s="2"/>
      <c r="NUB18" s="7"/>
      <c r="NUC18"/>
      <c r="NUD18"/>
      <c r="NUE18" s="10"/>
      <c r="NUF18" s="2"/>
      <c r="NUG18"/>
      <c r="NUH18" s="5"/>
      <c r="NUI18" s="2"/>
      <c r="NUJ18" s="7"/>
      <c r="NUK18"/>
      <c r="NUL18"/>
      <c r="NUM18" s="10"/>
      <c r="NUN18" s="2"/>
      <c r="NUO18"/>
      <c r="NUP18" s="5"/>
      <c r="NUQ18" s="2"/>
      <c r="NUR18" s="7"/>
      <c r="NUS18"/>
      <c r="NUT18"/>
      <c r="NUU18" s="10"/>
      <c r="NUV18" s="2"/>
      <c r="NUW18"/>
      <c r="NUX18" s="5"/>
      <c r="NUY18" s="2"/>
      <c r="NUZ18" s="7"/>
      <c r="NVA18"/>
      <c r="NVB18"/>
      <c r="NVC18" s="10"/>
      <c r="NVD18" s="2"/>
      <c r="NVE18"/>
      <c r="NVF18" s="5"/>
      <c r="NVG18" s="2"/>
      <c r="NVH18" s="7"/>
      <c r="NVI18"/>
      <c r="NVJ18"/>
      <c r="NVK18" s="10"/>
      <c r="NVL18" s="2"/>
      <c r="NVM18"/>
      <c r="NVN18" s="5"/>
      <c r="NVO18" s="2"/>
      <c r="NVP18" s="7"/>
      <c r="NVQ18"/>
      <c r="NVR18"/>
      <c r="NVS18" s="10"/>
      <c r="NVT18" s="2"/>
      <c r="NVU18"/>
      <c r="NVV18" s="5"/>
      <c r="NVW18" s="2"/>
      <c r="NVX18" s="7"/>
      <c r="NVY18"/>
      <c r="NVZ18"/>
      <c r="NWA18" s="10"/>
      <c r="NWB18" s="2"/>
      <c r="NWC18"/>
      <c r="NWD18" s="5"/>
      <c r="NWE18" s="2"/>
      <c r="NWF18" s="7"/>
      <c r="NWG18"/>
      <c r="NWH18"/>
      <c r="NWI18" s="10"/>
      <c r="NWJ18" s="2"/>
      <c r="NWK18"/>
      <c r="NWL18" s="5"/>
      <c r="NWM18" s="2"/>
      <c r="NWN18" s="7"/>
      <c r="NWO18"/>
      <c r="NWP18"/>
      <c r="NWQ18" s="10"/>
      <c r="NWR18" s="2"/>
      <c r="NWS18"/>
      <c r="NWT18" s="5"/>
      <c r="NWU18" s="2"/>
      <c r="NWV18" s="7"/>
      <c r="NWW18"/>
      <c r="NWX18"/>
      <c r="NWY18" s="10"/>
      <c r="NWZ18" s="2"/>
      <c r="NXA18"/>
      <c r="NXB18" s="5"/>
      <c r="NXC18" s="2"/>
      <c r="NXD18" s="7"/>
      <c r="NXE18"/>
      <c r="NXF18"/>
      <c r="NXG18" s="10"/>
      <c r="NXH18" s="2"/>
      <c r="NXI18"/>
      <c r="NXJ18" s="5"/>
      <c r="NXK18" s="2"/>
      <c r="NXL18" s="7"/>
      <c r="NXM18"/>
      <c r="NXN18"/>
      <c r="NXO18" s="10"/>
      <c r="NXP18" s="2"/>
      <c r="NXQ18"/>
      <c r="NXR18" s="5"/>
      <c r="NXS18" s="2"/>
      <c r="NXT18" s="7"/>
      <c r="NXU18"/>
      <c r="NXV18"/>
      <c r="NXW18" s="10"/>
      <c r="NXX18" s="2"/>
      <c r="NXY18"/>
      <c r="NXZ18" s="5"/>
      <c r="NYA18" s="2"/>
      <c r="NYB18" s="7"/>
      <c r="NYC18"/>
      <c r="NYD18"/>
      <c r="NYE18" s="10"/>
      <c r="NYF18" s="2"/>
      <c r="NYG18"/>
      <c r="NYH18" s="5"/>
      <c r="NYI18" s="2"/>
      <c r="NYJ18" s="7"/>
      <c r="NYK18"/>
      <c r="NYL18"/>
      <c r="NYM18" s="10"/>
      <c r="NYN18" s="2"/>
      <c r="NYO18"/>
      <c r="NYP18" s="5"/>
      <c r="NYQ18" s="2"/>
      <c r="NYR18" s="7"/>
      <c r="NYS18"/>
      <c r="NYT18"/>
      <c r="NYU18" s="10"/>
      <c r="NYV18" s="2"/>
      <c r="NYW18"/>
      <c r="NYX18" s="5"/>
      <c r="NYY18" s="2"/>
      <c r="NYZ18" s="7"/>
      <c r="NZA18"/>
      <c r="NZB18"/>
      <c r="NZC18" s="10"/>
      <c r="NZD18" s="2"/>
      <c r="NZE18"/>
      <c r="NZF18" s="5"/>
      <c r="NZG18" s="2"/>
      <c r="NZH18" s="7"/>
      <c r="NZI18"/>
      <c r="NZJ18"/>
      <c r="NZK18" s="10"/>
      <c r="NZL18" s="2"/>
      <c r="NZM18"/>
      <c r="NZN18" s="5"/>
      <c r="NZO18" s="2"/>
      <c r="NZP18" s="7"/>
      <c r="NZQ18"/>
      <c r="NZR18"/>
      <c r="NZS18" s="10"/>
      <c r="NZT18" s="2"/>
      <c r="NZU18"/>
      <c r="NZV18" s="5"/>
      <c r="NZW18" s="2"/>
      <c r="NZX18" s="7"/>
      <c r="NZY18"/>
      <c r="NZZ18"/>
      <c r="OAA18" s="10"/>
      <c r="OAB18" s="2"/>
      <c r="OAC18"/>
      <c r="OAD18" s="5"/>
      <c r="OAE18" s="2"/>
      <c r="OAF18" s="7"/>
      <c r="OAG18"/>
      <c r="OAH18"/>
      <c r="OAI18" s="10"/>
      <c r="OAJ18" s="2"/>
      <c r="OAK18"/>
      <c r="OAL18" s="5"/>
      <c r="OAM18" s="2"/>
      <c r="OAN18" s="7"/>
      <c r="OAO18"/>
      <c r="OAP18"/>
      <c r="OAQ18" s="10"/>
      <c r="OAR18" s="2"/>
      <c r="OAS18"/>
      <c r="OAT18" s="5"/>
      <c r="OAU18" s="2"/>
      <c r="OAV18" s="7"/>
      <c r="OAW18"/>
      <c r="OAX18"/>
      <c r="OAY18" s="10"/>
      <c r="OAZ18" s="2"/>
      <c r="OBA18"/>
      <c r="OBB18" s="5"/>
      <c r="OBC18" s="2"/>
      <c r="OBD18" s="7"/>
      <c r="OBE18"/>
      <c r="OBF18"/>
      <c r="OBG18" s="10"/>
      <c r="OBH18" s="2"/>
      <c r="OBI18"/>
      <c r="OBJ18" s="5"/>
      <c r="OBK18" s="2"/>
      <c r="OBL18" s="7"/>
      <c r="OBM18"/>
      <c r="OBN18"/>
      <c r="OBO18" s="10"/>
      <c r="OBP18" s="2"/>
      <c r="OBQ18"/>
      <c r="OBR18" s="5"/>
      <c r="OBS18" s="2"/>
      <c r="OBT18" s="7"/>
      <c r="OBU18"/>
      <c r="OBV18"/>
      <c r="OBW18" s="10"/>
      <c r="OBX18" s="2"/>
      <c r="OBY18"/>
      <c r="OBZ18" s="5"/>
      <c r="OCA18" s="2"/>
      <c r="OCB18" s="7"/>
      <c r="OCC18"/>
      <c r="OCD18"/>
      <c r="OCE18" s="10"/>
      <c r="OCF18" s="2"/>
      <c r="OCG18"/>
      <c r="OCH18" s="5"/>
      <c r="OCI18" s="2"/>
      <c r="OCJ18" s="7"/>
      <c r="OCK18"/>
      <c r="OCL18"/>
      <c r="OCM18" s="10"/>
      <c r="OCN18" s="2"/>
      <c r="OCO18"/>
      <c r="OCP18" s="5"/>
      <c r="OCQ18" s="2"/>
      <c r="OCR18" s="7"/>
      <c r="OCS18"/>
      <c r="OCT18"/>
      <c r="OCU18" s="10"/>
      <c r="OCV18" s="2"/>
      <c r="OCW18"/>
      <c r="OCX18" s="5"/>
      <c r="OCY18" s="2"/>
      <c r="OCZ18" s="7"/>
      <c r="ODA18"/>
      <c r="ODB18"/>
      <c r="ODC18" s="10"/>
      <c r="ODD18" s="2"/>
      <c r="ODE18"/>
      <c r="ODF18" s="5"/>
      <c r="ODG18" s="2"/>
      <c r="ODH18" s="7"/>
      <c r="ODI18"/>
      <c r="ODJ18"/>
      <c r="ODK18" s="10"/>
      <c r="ODL18" s="2"/>
      <c r="ODM18"/>
      <c r="ODN18" s="5"/>
      <c r="ODO18" s="2"/>
      <c r="ODP18" s="7"/>
      <c r="ODQ18"/>
      <c r="ODR18"/>
      <c r="ODS18" s="10"/>
      <c r="ODT18" s="2"/>
      <c r="ODU18"/>
      <c r="ODV18" s="5"/>
      <c r="ODW18" s="2"/>
      <c r="ODX18" s="7"/>
      <c r="ODY18"/>
      <c r="ODZ18"/>
      <c r="OEA18" s="10"/>
      <c r="OEB18" s="2"/>
      <c r="OEC18"/>
      <c r="OED18" s="5"/>
      <c r="OEE18" s="2"/>
      <c r="OEF18" s="7"/>
      <c r="OEG18"/>
      <c r="OEH18"/>
      <c r="OEI18" s="10"/>
      <c r="OEJ18" s="2"/>
      <c r="OEK18"/>
      <c r="OEL18" s="5"/>
      <c r="OEM18" s="2"/>
      <c r="OEN18" s="7"/>
      <c r="OEO18"/>
      <c r="OEP18"/>
      <c r="OEQ18" s="10"/>
      <c r="OER18" s="2"/>
      <c r="OES18"/>
      <c r="OET18" s="5"/>
      <c r="OEU18" s="2"/>
      <c r="OEV18" s="7"/>
      <c r="OEW18"/>
      <c r="OEX18"/>
      <c r="OEY18" s="10"/>
      <c r="OEZ18" s="2"/>
      <c r="OFA18"/>
      <c r="OFB18" s="5"/>
      <c r="OFC18" s="2"/>
      <c r="OFD18" s="7"/>
      <c r="OFE18"/>
      <c r="OFF18"/>
      <c r="OFG18" s="10"/>
      <c r="OFH18" s="2"/>
      <c r="OFI18"/>
      <c r="OFJ18" s="5"/>
      <c r="OFK18" s="2"/>
      <c r="OFL18" s="7"/>
      <c r="OFM18"/>
      <c r="OFN18"/>
      <c r="OFO18" s="10"/>
      <c r="OFP18" s="2"/>
      <c r="OFQ18"/>
      <c r="OFR18" s="5"/>
      <c r="OFS18" s="2"/>
      <c r="OFT18" s="7"/>
      <c r="OFU18"/>
      <c r="OFV18"/>
      <c r="OFW18" s="10"/>
      <c r="OFX18" s="2"/>
      <c r="OFY18"/>
      <c r="OFZ18" s="5"/>
      <c r="OGA18" s="2"/>
      <c r="OGB18" s="7"/>
      <c r="OGC18"/>
      <c r="OGD18"/>
      <c r="OGE18" s="10"/>
      <c r="OGF18" s="2"/>
      <c r="OGG18"/>
      <c r="OGH18" s="5"/>
      <c r="OGI18" s="2"/>
      <c r="OGJ18" s="7"/>
      <c r="OGK18"/>
      <c r="OGL18"/>
      <c r="OGM18" s="10"/>
      <c r="OGN18" s="2"/>
      <c r="OGO18"/>
      <c r="OGP18" s="5"/>
      <c r="OGQ18" s="2"/>
      <c r="OGR18" s="7"/>
      <c r="OGS18"/>
      <c r="OGT18"/>
      <c r="OGU18" s="10"/>
      <c r="OGV18" s="2"/>
      <c r="OGW18"/>
      <c r="OGX18" s="5"/>
      <c r="OGY18" s="2"/>
      <c r="OGZ18" s="7"/>
      <c r="OHA18"/>
      <c r="OHB18"/>
      <c r="OHC18" s="10"/>
      <c r="OHD18" s="2"/>
      <c r="OHE18"/>
      <c r="OHF18" s="5"/>
      <c r="OHG18" s="2"/>
      <c r="OHH18" s="7"/>
      <c r="OHI18"/>
      <c r="OHJ18"/>
      <c r="OHK18" s="10"/>
      <c r="OHL18" s="2"/>
      <c r="OHM18"/>
      <c r="OHN18" s="5"/>
      <c r="OHO18" s="2"/>
      <c r="OHP18" s="7"/>
      <c r="OHQ18"/>
      <c r="OHR18"/>
      <c r="OHS18" s="10"/>
      <c r="OHT18" s="2"/>
      <c r="OHU18"/>
      <c r="OHV18" s="5"/>
      <c r="OHW18" s="2"/>
      <c r="OHX18" s="7"/>
      <c r="OHY18"/>
      <c r="OHZ18"/>
      <c r="OIA18" s="10"/>
      <c r="OIB18" s="2"/>
      <c r="OIC18"/>
      <c r="OID18" s="5"/>
      <c r="OIE18" s="2"/>
      <c r="OIF18" s="7"/>
      <c r="OIG18"/>
      <c r="OIH18"/>
      <c r="OII18" s="10"/>
      <c r="OIJ18" s="2"/>
      <c r="OIK18"/>
      <c r="OIL18" s="5"/>
      <c r="OIM18" s="2"/>
      <c r="OIN18" s="7"/>
      <c r="OIO18"/>
      <c r="OIP18"/>
      <c r="OIQ18" s="10"/>
      <c r="OIR18" s="2"/>
      <c r="OIS18"/>
      <c r="OIT18" s="5"/>
      <c r="OIU18" s="2"/>
      <c r="OIV18" s="7"/>
      <c r="OIW18"/>
      <c r="OIX18"/>
      <c r="OIY18" s="10"/>
      <c r="OIZ18" s="2"/>
      <c r="OJA18"/>
      <c r="OJB18" s="5"/>
      <c r="OJC18" s="2"/>
      <c r="OJD18" s="7"/>
      <c r="OJE18"/>
      <c r="OJF18"/>
      <c r="OJG18" s="10"/>
      <c r="OJH18" s="2"/>
      <c r="OJI18"/>
      <c r="OJJ18" s="5"/>
      <c r="OJK18" s="2"/>
      <c r="OJL18" s="7"/>
      <c r="OJM18"/>
      <c r="OJN18"/>
      <c r="OJO18" s="10"/>
      <c r="OJP18" s="2"/>
      <c r="OJQ18"/>
      <c r="OJR18" s="5"/>
      <c r="OJS18" s="2"/>
      <c r="OJT18" s="7"/>
      <c r="OJU18"/>
      <c r="OJV18"/>
      <c r="OJW18" s="10"/>
      <c r="OJX18" s="2"/>
      <c r="OJY18"/>
      <c r="OJZ18" s="5"/>
      <c r="OKA18" s="2"/>
      <c r="OKB18" s="7"/>
      <c r="OKC18"/>
      <c r="OKD18"/>
      <c r="OKE18" s="10"/>
      <c r="OKF18" s="2"/>
      <c r="OKG18"/>
      <c r="OKH18" s="5"/>
      <c r="OKI18" s="2"/>
      <c r="OKJ18" s="7"/>
      <c r="OKK18"/>
      <c r="OKL18"/>
      <c r="OKM18" s="10"/>
      <c r="OKN18" s="2"/>
      <c r="OKO18"/>
      <c r="OKP18" s="5"/>
      <c r="OKQ18" s="2"/>
      <c r="OKR18" s="7"/>
      <c r="OKS18"/>
      <c r="OKT18"/>
      <c r="OKU18" s="10"/>
      <c r="OKV18" s="2"/>
      <c r="OKW18"/>
      <c r="OKX18" s="5"/>
      <c r="OKY18" s="2"/>
      <c r="OKZ18" s="7"/>
      <c r="OLA18"/>
      <c r="OLB18"/>
      <c r="OLC18" s="10"/>
      <c r="OLD18" s="2"/>
      <c r="OLE18"/>
      <c r="OLF18" s="5"/>
      <c r="OLG18" s="2"/>
      <c r="OLH18" s="7"/>
      <c r="OLI18"/>
      <c r="OLJ18"/>
      <c r="OLK18" s="10"/>
      <c r="OLL18" s="2"/>
      <c r="OLM18"/>
      <c r="OLN18" s="5"/>
      <c r="OLO18" s="2"/>
      <c r="OLP18" s="7"/>
      <c r="OLQ18"/>
      <c r="OLR18"/>
      <c r="OLS18" s="10"/>
      <c r="OLT18" s="2"/>
      <c r="OLU18"/>
      <c r="OLV18" s="5"/>
      <c r="OLW18" s="2"/>
      <c r="OLX18" s="7"/>
      <c r="OLY18"/>
      <c r="OLZ18"/>
      <c r="OMA18" s="10"/>
      <c r="OMB18" s="2"/>
      <c r="OMC18"/>
      <c r="OMD18" s="5"/>
      <c r="OME18" s="2"/>
      <c r="OMF18" s="7"/>
      <c r="OMG18"/>
      <c r="OMH18"/>
      <c r="OMI18" s="10"/>
      <c r="OMJ18" s="2"/>
      <c r="OMK18"/>
      <c r="OML18" s="5"/>
      <c r="OMM18" s="2"/>
      <c r="OMN18" s="7"/>
      <c r="OMO18"/>
      <c r="OMP18"/>
      <c r="OMQ18" s="10"/>
      <c r="OMR18" s="2"/>
      <c r="OMS18"/>
      <c r="OMT18" s="5"/>
      <c r="OMU18" s="2"/>
      <c r="OMV18" s="7"/>
      <c r="OMW18"/>
      <c r="OMX18"/>
      <c r="OMY18" s="10"/>
      <c r="OMZ18" s="2"/>
      <c r="ONA18"/>
      <c r="ONB18" s="5"/>
      <c r="ONC18" s="2"/>
      <c r="OND18" s="7"/>
      <c r="ONE18"/>
      <c r="ONF18"/>
      <c r="ONG18" s="10"/>
      <c r="ONH18" s="2"/>
      <c r="ONI18"/>
      <c r="ONJ18" s="5"/>
      <c r="ONK18" s="2"/>
      <c r="ONL18" s="7"/>
      <c r="ONM18"/>
      <c r="ONN18"/>
      <c r="ONO18" s="10"/>
      <c r="ONP18" s="2"/>
      <c r="ONQ18"/>
      <c r="ONR18" s="5"/>
      <c r="ONS18" s="2"/>
      <c r="ONT18" s="7"/>
      <c r="ONU18"/>
      <c r="ONV18"/>
      <c r="ONW18" s="10"/>
      <c r="ONX18" s="2"/>
      <c r="ONY18"/>
      <c r="ONZ18" s="5"/>
      <c r="OOA18" s="2"/>
      <c r="OOB18" s="7"/>
      <c r="OOC18"/>
      <c r="OOD18"/>
      <c r="OOE18" s="10"/>
      <c r="OOF18" s="2"/>
      <c r="OOG18"/>
      <c r="OOH18" s="5"/>
      <c r="OOI18" s="2"/>
      <c r="OOJ18" s="7"/>
      <c r="OOK18"/>
      <c r="OOL18"/>
      <c r="OOM18" s="10"/>
      <c r="OON18" s="2"/>
      <c r="OOO18"/>
      <c r="OOP18" s="5"/>
      <c r="OOQ18" s="2"/>
      <c r="OOR18" s="7"/>
      <c r="OOS18"/>
      <c r="OOT18"/>
      <c r="OOU18" s="10"/>
      <c r="OOV18" s="2"/>
      <c r="OOW18"/>
      <c r="OOX18" s="5"/>
      <c r="OOY18" s="2"/>
      <c r="OOZ18" s="7"/>
      <c r="OPA18"/>
      <c r="OPB18"/>
      <c r="OPC18" s="10"/>
      <c r="OPD18" s="2"/>
      <c r="OPE18"/>
      <c r="OPF18" s="5"/>
      <c r="OPG18" s="2"/>
      <c r="OPH18" s="7"/>
      <c r="OPI18"/>
      <c r="OPJ18"/>
      <c r="OPK18" s="10"/>
      <c r="OPL18" s="2"/>
      <c r="OPM18"/>
      <c r="OPN18" s="5"/>
      <c r="OPO18" s="2"/>
      <c r="OPP18" s="7"/>
      <c r="OPQ18"/>
      <c r="OPR18"/>
      <c r="OPS18" s="10"/>
      <c r="OPT18" s="2"/>
      <c r="OPU18"/>
      <c r="OPV18" s="5"/>
      <c r="OPW18" s="2"/>
      <c r="OPX18" s="7"/>
      <c r="OPY18"/>
      <c r="OPZ18"/>
      <c r="OQA18" s="10"/>
      <c r="OQB18" s="2"/>
      <c r="OQC18"/>
      <c r="OQD18" s="5"/>
      <c r="OQE18" s="2"/>
      <c r="OQF18" s="7"/>
      <c r="OQG18"/>
      <c r="OQH18"/>
      <c r="OQI18" s="10"/>
      <c r="OQJ18" s="2"/>
      <c r="OQK18"/>
      <c r="OQL18" s="5"/>
      <c r="OQM18" s="2"/>
      <c r="OQN18" s="7"/>
      <c r="OQO18"/>
      <c r="OQP18"/>
      <c r="OQQ18" s="10"/>
      <c r="OQR18" s="2"/>
      <c r="OQS18"/>
      <c r="OQT18" s="5"/>
      <c r="OQU18" s="2"/>
      <c r="OQV18" s="7"/>
      <c r="OQW18"/>
      <c r="OQX18"/>
      <c r="OQY18" s="10"/>
      <c r="OQZ18" s="2"/>
      <c r="ORA18"/>
      <c r="ORB18" s="5"/>
      <c r="ORC18" s="2"/>
      <c r="ORD18" s="7"/>
      <c r="ORE18"/>
      <c r="ORF18"/>
      <c r="ORG18" s="10"/>
      <c r="ORH18" s="2"/>
      <c r="ORI18"/>
      <c r="ORJ18" s="5"/>
      <c r="ORK18" s="2"/>
      <c r="ORL18" s="7"/>
      <c r="ORM18"/>
      <c r="ORN18"/>
      <c r="ORO18" s="10"/>
      <c r="ORP18" s="2"/>
      <c r="ORQ18"/>
      <c r="ORR18" s="5"/>
      <c r="ORS18" s="2"/>
      <c r="ORT18" s="7"/>
      <c r="ORU18"/>
      <c r="ORV18"/>
      <c r="ORW18" s="10"/>
      <c r="ORX18" s="2"/>
      <c r="ORY18"/>
      <c r="ORZ18" s="5"/>
      <c r="OSA18" s="2"/>
      <c r="OSB18" s="7"/>
      <c r="OSC18"/>
      <c r="OSD18"/>
      <c r="OSE18" s="10"/>
      <c r="OSF18" s="2"/>
      <c r="OSG18"/>
      <c r="OSH18" s="5"/>
      <c r="OSI18" s="2"/>
      <c r="OSJ18" s="7"/>
      <c r="OSK18"/>
      <c r="OSL18"/>
      <c r="OSM18" s="10"/>
      <c r="OSN18" s="2"/>
      <c r="OSO18"/>
      <c r="OSP18" s="5"/>
      <c r="OSQ18" s="2"/>
      <c r="OSR18" s="7"/>
      <c r="OSS18"/>
      <c r="OST18"/>
      <c r="OSU18" s="10"/>
      <c r="OSV18" s="2"/>
      <c r="OSW18"/>
      <c r="OSX18" s="5"/>
      <c r="OSY18" s="2"/>
      <c r="OSZ18" s="7"/>
      <c r="OTA18"/>
      <c r="OTB18"/>
      <c r="OTC18" s="10"/>
      <c r="OTD18" s="2"/>
      <c r="OTE18"/>
      <c r="OTF18" s="5"/>
      <c r="OTG18" s="2"/>
      <c r="OTH18" s="7"/>
      <c r="OTI18"/>
      <c r="OTJ18"/>
      <c r="OTK18" s="10"/>
      <c r="OTL18" s="2"/>
      <c r="OTM18"/>
      <c r="OTN18" s="5"/>
      <c r="OTO18" s="2"/>
      <c r="OTP18" s="7"/>
      <c r="OTQ18"/>
      <c r="OTR18"/>
      <c r="OTS18" s="10"/>
      <c r="OTT18" s="2"/>
      <c r="OTU18"/>
      <c r="OTV18" s="5"/>
      <c r="OTW18" s="2"/>
      <c r="OTX18" s="7"/>
      <c r="OTY18"/>
      <c r="OTZ18"/>
      <c r="OUA18" s="10"/>
      <c r="OUB18" s="2"/>
      <c r="OUC18"/>
      <c r="OUD18" s="5"/>
      <c r="OUE18" s="2"/>
      <c r="OUF18" s="7"/>
      <c r="OUG18"/>
      <c r="OUH18"/>
      <c r="OUI18" s="10"/>
      <c r="OUJ18" s="2"/>
      <c r="OUK18"/>
      <c r="OUL18" s="5"/>
      <c r="OUM18" s="2"/>
      <c r="OUN18" s="7"/>
      <c r="OUO18"/>
      <c r="OUP18"/>
      <c r="OUQ18" s="10"/>
      <c r="OUR18" s="2"/>
      <c r="OUS18"/>
      <c r="OUT18" s="5"/>
      <c r="OUU18" s="2"/>
      <c r="OUV18" s="7"/>
      <c r="OUW18"/>
      <c r="OUX18"/>
      <c r="OUY18" s="10"/>
      <c r="OUZ18" s="2"/>
      <c r="OVA18"/>
      <c r="OVB18" s="5"/>
      <c r="OVC18" s="2"/>
      <c r="OVD18" s="7"/>
      <c r="OVE18"/>
      <c r="OVF18"/>
      <c r="OVG18" s="10"/>
      <c r="OVH18" s="2"/>
      <c r="OVI18"/>
      <c r="OVJ18" s="5"/>
      <c r="OVK18" s="2"/>
      <c r="OVL18" s="7"/>
      <c r="OVM18"/>
      <c r="OVN18"/>
      <c r="OVO18" s="10"/>
      <c r="OVP18" s="2"/>
      <c r="OVQ18"/>
      <c r="OVR18" s="5"/>
      <c r="OVS18" s="2"/>
      <c r="OVT18" s="7"/>
      <c r="OVU18"/>
      <c r="OVV18"/>
      <c r="OVW18" s="10"/>
      <c r="OVX18" s="2"/>
      <c r="OVY18"/>
      <c r="OVZ18" s="5"/>
      <c r="OWA18" s="2"/>
      <c r="OWB18" s="7"/>
      <c r="OWC18"/>
      <c r="OWD18"/>
      <c r="OWE18" s="10"/>
      <c r="OWF18" s="2"/>
      <c r="OWG18"/>
      <c r="OWH18" s="5"/>
      <c r="OWI18" s="2"/>
      <c r="OWJ18" s="7"/>
      <c r="OWK18"/>
      <c r="OWL18"/>
      <c r="OWM18" s="10"/>
      <c r="OWN18" s="2"/>
      <c r="OWO18"/>
      <c r="OWP18" s="5"/>
      <c r="OWQ18" s="2"/>
      <c r="OWR18" s="7"/>
      <c r="OWS18"/>
      <c r="OWT18"/>
      <c r="OWU18" s="10"/>
      <c r="OWV18" s="2"/>
      <c r="OWW18"/>
      <c r="OWX18" s="5"/>
      <c r="OWY18" s="2"/>
      <c r="OWZ18" s="7"/>
      <c r="OXA18"/>
      <c r="OXB18"/>
      <c r="OXC18" s="10"/>
      <c r="OXD18" s="2"/>
      <c r="OXE18"/>
      <c r="OXF18" s="5"/>
      <c r="OXG18" s="2"/>
      <c r="OXH18" s="7"/>
      <c r="OXI18"/>
      <c r="OXJ18"/>
      <c r="OXK18" s="10"/>
      <c r="OXL18" s="2"/>
      <c r="OXM18"/>
      <c r="OXN18" s="5"/>
      <c r="OXO18" s="2"/>
      <c r="OXP18" s="7"/>
      <c r="OXQ18"/>
      <c r="OXR18"/>
      <c r="OXS18" s="10"/>
      <c r="OXT18" s="2"/>
      <c r="OXU18"/>
      <c r="OXV18" s="5"/>
      <c r="OXW18" s="2"/>
      <c r="OXX18" s="7"/>
      <c r="OXY18"/>
      <c r="OXZ18"/>
      <c r="OYA18" s="10"/>
      <c r="OYB18" s="2"/>
      <c r="OYC18"/>
      <c r="OYD18" s="5"/>
      <c r="OYE18" s="2"/>
      <c r="OYF18" s="7"/>
      <c r="OYG18"/>
      <c r="OYH18"/>
      <c r="OYI18" s="10"/>
      <c r="OYJ18" s="2"/>
      <c r="OYK18"/>
      <c r="OYL18" s="5"/>
      <c r="OYM18" s="2"/>
      <c r="OYN18" s="7"/>
      <c r="OYO18"/>
      <c r="OYP18"/>
      <c r="OYQ18" s="10"/>
      <c r="OYR18" s="2"/>
      <c r="OYS18"/>
      <c r="OYT18" s="5"/>
      <c r="OYU18" s="2"/>
      <c r="OYV18" s="7"/>
      <c r="OYW18"/>
      <c r="OYX18"/>
      <c r="OYY18" s="10"/>
      <c r="OYZ18" s="2"/>
      <c r="OZA18"/>
      <c r="OZB18" s="5"/>
      <c r="OZC18" s="2"/>
      <c r="OZD18" s="7"/>
      <c r="OZE18"/>
      <c r="OZF18"/>
      <c r="OZG18" s="10"/>
      <c r="OZH18" s="2"/>
      <c r="OZI18"/>
      <c r="OZJ18" s="5"/>
      <c r="OZK18" s="2"/>
      <c r="OZL18" s="7"/>
      <c r="OZM18"/>
      <c r="OZN18"/>
      <c r="OZO18" s="10"/>
      <c r="OZP18" s="2"/>
      <c r="OZQ18"/>
      <c r="OZR18" s="5"/>
      <c r="OZS18" s="2"/>
      <c r="OZT18" s="7"/>
      <c r="OZU18"/>
      <c r="OZV18"/>
      <c r="OZW18" s="10"/>
      <c r="OZX18" s="2"/>
      <c r="OZY18"/>
      <c r="OZZ18" s="5"/>
      <c r="PAA18" s="2"/>
      <c r="PAB18" s="7"/>
      <c r="PAC18"/>
      <c r="PAD18"/>
      <c r="PAE18" s="10"/>
      <c r="PAF18" s="2"/>
      <c r="PAG18"/>
      <c r="PAH18" s="5"/>
      <c r="PAI18" s="2"/>
      <c r="PAJ18" s="7"/>
      <c r="PAK18"/>
      <c r="PAL18"/>
      <c r="PAM18" s="10"/>
      <c r="PAN18" s="2"/>
      <c r="PAO18"/>
      <c r="PAP18" s="5"/>
      <c r="PAQ18" s="2"/>
      <c r="PAR18" s="7"/>
      <c r="PAS18"/>
      <c r="PAT18"/>
      <c r="PAU18" s="10"/>
      <c r="PAV18" s="2"/>
      <c r="PAW18"/>
      <c r="PAX18" s="5"/>
      <c r="PAY18" s="2"/>
      <c r="PAZ18" s="7"/>
      <c r="PBA18"/>
      <c r="PBB18"/>
      <c r="PBC18" s="10"/>
      <c r="PBD18" s="2"/>
      <c r="PBE18"/>
      <c r="PBF18" s="5"/>
      <c r="PBG18" s="2"/>
      <c r="PBH18" s="7"/>
      <c r="PBI18"/>
      <c r="PBJ18"/>
      <c r="PBK18" s="10"/>
      <c r="PBL18" s="2"/>
      <c r="PBM18"/>
      <c r="PBN18" s="5"/>
      <c r="PBO18" s="2"/>
      <c r="PBP18" s="7"/>
      <c r="PBQ18"/>
      <c r="PBR18"/>
      <c r="PBS18" s="10"/>
      <c r="PBT18" s="2"/>
      <c r="PBU18"/>
      <c r="PBV18" s="5"/>
      <c r="PBW18" s="2"/>
      <c r="PBX18" s="7"/>
      <c r="PBY18"/>
      <c r="PBZ18"/>
      <c r="PCA18" s="10"/>
      <c r="PCB18" s="2"/>
      <c r="PCC18"/>
      <c r="PCD18" s="5"/>
      <c r="PCE18" s="2"/>
      <c r="PCF18" s="7"/>
      <c r="PCG18"/>
      <c r="PCH18"/>
      <c r="PCI18" s="10"/>
      <c r="PCJ18" s="2"/>
      <c r="PCK18"/>
      <c r="PCL18" s="5"/>
      <c r="PCM18" s="2"/>
      <c r="PCN18" s="7"/>
      <c r="PCO18"/>
      <c r="PCP18"/>
      <c r="PCQ18" s="10"/>
      <c r="PCR18" s="2"/>
      <c r="PCS18"/>
      <c r="PCT18" s="5"/>
      <c r="PCU18" s="2"/>
      <c r="PCV18" s="7"/>
      <c r="PCW18"/>
      <c r="PCX18"/>
      <c r="PCY18" s="10"/>
      <c r="PCZ18" s="2"/>
      <c r="PDA18"/>
      <c r="PDB18" s="5"/>
      <c r="PDC18" s="2"/>
      <c r="PDD18" s="7"/>
      <c r="PDE18"/>
      <c r="PDF18"/>
      <c r="PDG18" s="10"/>
      <c r="PDH18" s="2"/>
      <c r="PDI18"/>
      <c r="PDJ18" s="5"/>
      <c r="PDK18" s="2"/>
      <c r="PDL18" s="7"/>
      <c r="PDM18"/>
      <c r="PDN18"/>
      <c r="PDO18" s="10"/>
      <c r="PDP18" s="2"/>
      <c r="PDQ18"/>
      <c r="PDR18" s="5"/>
      <c r="PDS18" s="2"/>
      <c r="PDT18" s="7"/>
      <c r="PDU18"/>
      <c r="PDV18"/>
      <c r="PDW18" s="10"/>
      <c r="PDX18" s="2"/>
      <c r="PDY18"/>
      <c r="PDZ18" s="5"/>
      <c r="PEA18" s="2"/>
      <c r="PEB18" s="7"/>
      <c r="PEC18"/>
      <c r="PED18"/>
      <c r="PEE18" s="10"/>
      <c r="PEF18" s="2"/>
      <c r="PEG18"/>
      <c r="PEH18" s="5"/>
      <c r="PEI18" s="2"/>
      <c r="PEJ18" s="7"/>
      <c r="PEK18"/>
      <c r="PEL18"/>
      <c r="PEM18" s="10"/>
      <c r="PEN18" s="2"/>
      <c r="PEO18"/>
      <c r="PEP18" s="5"/>
      <c r="PEQ18" s="2"/>
      <c r="PER18" s="7"/>
      <c r="PES18"/>
      <c r="PET18"/>
      <c r="PEU18" s="10"/>
      <c r="PEV18" s="2"/>
      <c r="PEW18"/>
      <c r="PEX18" s="5"/>
      <c r="PEY18" s="2"/>
      <c r="PEZ18" s="7"/>
      <c r="PFA18"/>
      <c r="PFB18"/>
      <c r="PFC18" s="10"/>
      <c r="PFD18" s="2"/>
      <c r="PFE18"/>
      <c r="PFF18" s="5"/>
      <c r="PFG18" s="2"/>
      <c r="PFH18" s="7"/>
      <c r="PFI18"/>
      <c r="PFJ18"/>
      <c r="PFK18" s="10"/>
      <c r="PFL18" s="2"/>
      <c r="PFM18"/>
      <c r="PFN18" s="5"/>
      <c r="PFO18" s="2"/>
      <c r="PFP18" s="7"/>
      <c r="PFQ18"/>
      <c r="PFR18"/>
      <c r="PFS18" s="10"/>
      <c r="PFT18" s="2"/>
      <c r="PFU18"/>
      <c r="PFV18" s="5"/>
      <c r="PFW18" s="2"/>
      <c r="PFX18" s="7"/>
      <c r="PFY18"/>
      <c r="PFZ18"/>
      <c r="PGA18" s="10"/>
      <c r="PGB18" s="2"/>
      <c r="PGC18"/>
      <c r="PGD18" s="5"/>
      <c r="PGE18" s="2"/>
      <c r="PGF18" s="7"/>
      <c r="PGG18"/>
      <c r="PGH18"/>
      <c r="PGI18" s="10"/>
      <c r="PGJ18" s="2"/>
      <c r="PGK18"/>
      <c r="PGL18" s="5"/>
      <c r="PGM18" s="2"/>
      <c r="PGN18" s="7"/>
      <c r="PGO18"/>
      <c r="PGP18"/>
      <c r="PGQ18" s="10"/>
      <c r="PGR18" s="2"/>
      <c r="PGS18"/>
      <c r="PGT18" s="5"/>
      <c r="PGU18" s="2"/>
      <c r="PGV18" s="7"/>
      <c r="PGW18"/>
      <c r="PGX18"/>
      <c r="PGY18" s="10"/>
      <c r="PGZ18" s="2"/>
      <c r="PHA18"/>
      <c r="PHB18" s="5"/>
      <c r="PHC18" s="2"/>
      <c r="PHD18" s="7"/>
      <c r="PHE18"/>
      <c r="PHF18"/>
      <c r="PHG18" s="10"/>
      <c r="PHH18" s="2"/>
      <c r="PHI18"/>
      <c r="PHJ18" s="5"/>
      <c r="PHK18" s="2"/>
      <c r="PHL18" s="7"/>
      <c r="PHM18"/>
      <c r="PHN18"/>
      <c r="PHO18" s="10"/>
      <c r="PHP18" s="2"/>
      <c r="PHQ18"/>
      <c r="PHR18" s="5"/>
      <c r="PHS18" s="2"/>
      <c r="PHT18" s="7"/>
      <c r="PHU18"/>
      <c r="PHV18"/>
      <c r="PHW18" s="10"/>
      <c r="PHX18" s="2"/>
      <c r="PHY18"/>
      <c r="PHZ18" s="5"/>
      <c r="PIA18" s="2"/>
      <c r="PIB18" s="7"/>
      <c r="PIC18"/>
      <c r="PID18"/>
      <c r="PIE18" s="10"/>
      <c r="PIF18" s="2"/>
      <c r="PIG18"/>
      <c r="PIH18" s="5"/>
      <c r="PII18" s="2"/>
      <c r="PIJ18" s="7"/>
      <c r="PIK18"/>
      <c r="PIL18"/>
      <c r="PIM18" s="10"/>
      <c r="PIN18" s="2"/>
      <c r="PIO18"/>
      <c r="PIP18" s="5"/>
      <c r="PIQ18" s="2"/>
      <c r="PIR18" s="7"/>
      <c r="PIS18"/>
      <c r="PIT18"/>
      <c r="PIU18" s="10"/>
      <c r="PIV18" s="2"/>
      <c r="PIW18"/>
      <c r="PIX18" s="5"/>
      <c r="PIY18" s="2"/>
      <c r="PIZ18" s="7"/>
      <c r="PJA18"/>
      <c r="PJB18"/>
      <c r="PJC18" s="10"/>
      <c r="PJD18" s="2"/>
      <c r="PJE18"/>
      <c r="PJF18" s="5"/>
      <c r="PJG18" s="2"/>
      <c r="PJH18" s="7"/>
      <c r="PJI18"/>
      <c r="PJJ18"/>
      <c r="PJK18" s="10"/>
      <c r="PJL18" s="2"/>
      <c r="PJM18"/>
      <c r="PJN18" s="5"/>
      <c r="PJO18" s="2"/>
      <c r="PJP18" s="7"/>
      <c r="PJQ18"/>
      <c r="PJR18"/>
      <c r="PJS18" s="10"/>
      <c r="PJT18" s="2"/>
      <c r="PJU18"/>
      <c r="PJV18" s="5"/>
      <c r="PJW18" s="2"/>
      <c r="PJX18" s="7"/>
      <c r="PJY18"/>
      <c r="PJZ18"/>
      <c r="PKA18" s="10"/>
      <c r="PKB18" s="2"/>
      <c r="PKC18"/>
      <c r="PKD18" s="5"/>
      <c r="PKE18" s="2"/>
      <c r="PKF18" s="7"/>
      <c r="PKG18"/>
      <c r="PKH18"/>
      <c r="PKI18" s="10"/>
      <c r="PKJ18" s="2"/>
      <c r="PKK18"/>
      <c r="PKL18" s="5"/>
      <c r="PKM18" s="2"/>
      <c r="PKN18" s="7"/>
      <c r="PKO18"/>
      <c r="PKP18"/>
      <c r="PKQ18" s="10"/>
      <c r="PKR18" s="2"/>
      <c r="PKS18"/>
      <c r="PKT18" s="5"/>
      <c r="PKU18" s="2"/>
      <c r="PKV18" s="7"/>
      <c r="PKW18"/>
      <c r="PKX18"/>
      <c r="PKY18" s="10"/>
      <c r="PKZ18" s="2"/>
      <c r="PLA18"/>
      <c r="PLB18" s="5"/>
      <c r="PLC18" s="2"/>
      <c r="PLD18" s="7"/>
      <c r="PLE18"/>
      <c r="PLF18"/>
      <c r="PLG18" s="10"/>
      <c r="PLH18" s="2"/>
      <c r="PLI18"/>
      <c r="PLJ18" s="5"/>
      <c r="PLK18" s="2"/>
      <c r="PLL18" s="7"/>
      <c r="PLM18"/>
      <c r="PLN18"/>
      <c r="PLO18" s="10"/>
      <c r="PLP18" s="2"/>
      <c r="PLQ18"/>
      <c r="PLR18" s="5"/>
      <c r="PLS18" s="2"/>
      <c r="PLT18" s="7"/>
      <c r="PLU18"/>
      <c r="PLV18"/>
      <c r="PLW18" s="10"/>
      <c r="PLX18" s="2"/>
      <c r="PLY18"/>
      <c r="PLZ18" s="5"/>
      <c r="PMA18" s="2"/>
      <c r="PMB18" s="7"/>
      <c r="PMC18"/>
      <c r="PMD18"/>
      <c r="PME18" s="10"/>
      <c r="PMF18" s="2"/>
      <c r="PMG18"/>
      <c r="PMH18" s="5"/>
      <c r="PMI18" s="2"/>
      <c r="PMJ18" s="7"/>
      <c r="PMK18"/>
      <c r="PML18"/>
      <c r="PMM18" s="10"/>
      <c r="PMN18" s="2"/>
      <c r="PMO18"/>
      <c r="PMP18" s="5"/>
      <c r="PMQ18" s="2"/>
      <c r="PMR18" s="7"/>
      <c r="PMS18"/>
      <c r="PMT18"/>
      <c r="PMU18" s="10"/>
      <c r="PMV18" s="2"/>
      <c r="PMW18"/>
      <c r="PMX18" s="5"/>
      <c r="PMY18" s="2"/>
      <c r="PMZ18" s="7"/>
      <c r="PNA18"/>
      <c r="PNB18"/>
      <c r="PNC18" s="10"/>
      <c r="PND18" s="2"/>
      <c r="PNE18"/>
      <c r="PNF18" s="5"/>
      <c r="PNG18" s="2"/>
      <c r="PNH18" s="7"/>
      <c r="PNI18"/>
      <c r="PNJ18"/>
      <c r="PNK18" s="10"/>
      <c r="PNL18" s="2"/>
      <c r="PNM18"/>
      <c r="PNN18" s="5"/>
      <c r="PNO18" s="2"/>
      <c r="PNP18" s="7"/>
      <c r="PNQ18"/>
      <c r="PNR18"/>
      <c r="PNS18" s="10"/>
      <c r="PNT18" s="2"/>
      <c r="PNU18"/>
      <c r="PNV18" s="5"/>
      <c r="PNW18" s="2"/>
      <c r="PNX18" s="7"/>
      <c r="PNY18"/>
      <c r="PNZ18"/>
      <c r="POA18" s="10"/>
      <c r="POB18" s="2"/>
      <c r="POC18"/>
      <c r="POD18" s="5"/>
      <c r="POE18" s="2"/>
      <c r="POF18" s="7"/>
      <c r="POG18"/>
      <c r="POH18"/>
      <c r="POI18" s="10"/>
      <c r="POJ18" s="2"/>
      <c r="POK18"/>
      <c r="POL18" s="5"/>
      <c r="POM18" s="2"/>
      <c r="PON18" s="7"/>
      <c r="POO18"/>
      <c r="POP18"/>
      <c r="POQ18" s="10"/>
      <c r="POR18" s="2"/>
      <c r="POS18"/>
      <c r="POT18" s="5"/>
      <c r="POU18" s="2"/>
      <c r="POV18" s="7"/>
      <c r="POW18"/>
      <c r="POX18"/>
      <c r="POY18" s="10"/>
      <c r="POZ18" s="2"/>
      <c r="PPA18"/>
      <c r="PPB18" s="5"/>
      <c r="PPC18" s="2"/>
      <c r="PPD18" s="7"/>
      <c r="PPE18"/>
      <c r="PPF18"/>
      <c r="PPG18" s="10"/>
      <c r="PPH18" s="2"/>
      <c r="PPI18"/>
      <c r="PPJ18" s="5"/>
      <c r="PPK18" s="2"/>
      <c r="PPL18" s="7"/>
      <c r="PPM18"/>
      <c r="PPN18"/>
      <c r="PPO18" s="10"/>
      <c r="PPP18" s="2"/>
      <c r="PPQ18"/>
      <c r="PPR18" s="5"/>
      <c r="PPS18" s="2"/>
      <c r="PPT18" s="7"/>
      <c r="PPU18"/>
      <c r="PPV18"/>
      <c r="PPW18" s="10"/>
      <c r="PPX18" s="2"/>
      <c r="PPY18"/>
      <c r="PPZ18" s="5"/>
      <c r="PQA18" s="2"/>
      <c r="PQB18" s="7"/>
      <c r="PQC18"/>
      <c r="PQD18"/>
      <c r="PQE18" s="10"/>
      <c r="PQF18" s="2"/>
      <c r="PQG18"/>
      <c r="PQH18" s="5"/>
      <c r="PQI18" s="2"/>
      <c r="PQJ18" s="7"/>
      <c r="PQK18"/>
      <c r="PQL18"/>
      <c r="PQM18" s="10"/>
      <c r="PQN18" s="2"/>
      <c r="PQO18"/>
      <c r="PQP18" s="5"/>
      <c r="PQQ18" s="2"/>
      <c r="PQR18" s="7"/>
      <c r="PQS18"/>
      <c r="PQT18"/>
      <c r="PQU18" s="10"/>
      <c r="PQV18" s="2"/>
      <c r="PQW18"/>
      <c r="PQX18" s="5"/>
      <c r="PQY18" s="2"/>
      <c r="PQZ18" s="7"/>
      <c r="PRA18"/>
      <c r="PRB18"/>
      <c r="PRC18" s="10"/>
      <c r="PRD18" s="2"/>
      <c r="PRE18"/>
      <c r="PRF18" s="5"/>
      <c r="PRG18" s="2"/>
      <c r="PRH18" s="7"/>
      <c r="PRI18"/>
      <c r="PRJ18"/>
      <c r="PRK18" s="10"/>
      <c r="PRL18" s="2"/>
      <c r="PRM18"/>
      <c r="PRN18" s="5"/>
      <c r="PRO18" s="2"/>
      <c r="PRP18" s="7"/>
      <c r="PRQ18"/>
      <c r="PRR18"/>
      <c r="PRS18" s="10"/>
      <c r="PRT18" s="2"/>
      <c r="PRU18"/>
      <c r="PRV18" s="5"/>
      <c r="PRW18" s="2"/>
      <c r="PRX18" s="7"/>
      <c r="PRY18"/>
      <c r="PRZ18"/>
      <c r="PSA18" s="10"/>
      <c r="PSB18" s="2"/>
      <c r="PSC18"/>
      <c r="PSD18" s="5"/>
      <c r="PSE18" s="2"/>
      <c r="PSF18" s="7"/>
      <c r="PSG18"/>
      <c r="PSH18"/>
      <c r="PSI18" s="10"/>
      <c r="PSJ18" s="2"/>
      <c r="PSK18"/>
      <c r="PSL18" s="5"/>
      <c r="PSM18" s="2"/>
      <c r="PSN18" s="7"/>
      <c r="PSO18"/>
      <c r="PSP18"/>
      <c r="PSQ18" s="10"/>
      <c r="PSR18" s="2"/>
      <c r="PSS18"/>
      <c r="PST18" s="5"/>
      <c r="PSU18" s="2"/>
      <c r="PSV18" s="7"/>
      <c r="PSW18"/>
      <c r="PSX18"/>
      <c r="PSY18" s="10"/>
      <c r="PSZ18" s="2"/>
      <c r="PTA18"/>
      <c r="PTB18" s="5"/>
      <c r="PTC18" s="2"/>
      <c r="PTD18" s="7"/>
      <c r="PTE18"/>
      <c r="PTF18"/>
      <c r="PTG18" s="10"/>
      <c r="PTH18" s="2"/>
      <c r="PTI18"/>
      <c r="PTJ18" s="5"/>
      <c r="PTK18" s="2"/>
      <c r="PTL18" s="7"/>
      <c r="PTM18"/>
      <c r="PTN18"/>
      <c r="PTO18" s="10"/>
      <c r="PTP18" s="2"/>
      <c r="PTQ18"/>
      <c r="PTR18" s="5"/>
      <c r="PTS18" s="2"/>
      <c r="PTT18" s="7"/>
      <c r="PTU18"/>
      <c r="PTV18"/>
      <c r="PTW18" s="10"/>
      <c r="PTX18" s="2"/>
      <c r="PTY18"/>
      <c r="PTZ18" s="5"/>
      <c r="PUA18" s="2"/>
      <c r="PUB18" s="7"/>
      <c r="PUC18"/>
      <c r="PUD18"/>
      <c r="PUE18" s="10"/>
      <c r="PUF18" s="2"/>
      <c r="PUG18"/>
      <c r="PUH18" s="5"/>
      <c r="PUI18" s="2"/>
      <c r="PUJ18" s="7"/>
      <c r="PUK18"/>
      <c r="PUL18"/>
      <c r="PUM18" s="10"/>
      <c r="PUN18" s="2"/>
      <c r="PUO18"/>
      <c r="PUP18" s="5"/>
      <c r="PUQ18" s="2"/>
      <c r="PUR18" s="7"/>
      <c r="PUS18"/>
      <c r="PUT18"/>
      <c r="PUU18" s="10"/>
      <c r="PUV18" s="2"/>
      <c r="PUW18"/>
      <c r="PUX18" s="5"/>
      <c r="PUY18" s="2"/>
      <c r="PUZ18" s="7"/>
      <c r="PVA18"/>
      <c r="PVB18"/>
      <c r="PVC18" s="10"/>
      <c r="PVD18" s="2"/>
      <c r="PVE18"/>
      <c r="PVF18" s="5"/>
      <c r="PVG18" s="2"/>
      <c r="PVH18" s="7"/>
      <c r="PVI18"/>
      <c r="PVJ18"/>
      <c r="PVK18" s="10"/>
      <c r="PVL18" s="2"/>
      <c r="PVM18"/>
      <c r="PVN18" s="5"/>
      <c r="PVO18" s="2"/>
      <c r="PVP18" s="7"/>
      <c r="PVQ18"/>
      <c r="PVR18"/>
      <c r="PVS18" s="10"/>
      <c r="PVT18" s="2"/>
      <c r="PVU18"/>
      <c r="PVV18" s="5"/>
      <c r="PVW18" s="2"/>
      <c r="PVX18" s="7"/>
      <c r="PVY18"/>
      <c r="PVZ18"/>
      <c r="PWA18" s="10"/>
      <c r="PWB18" s="2"/>
      <c r="PWC18"/>
      <c r="PWD18" s="5"/>
      <c r="PWE18" s="2"/>
      <c r="PWF18" s="7"/>
      <c r="PWG18"/>
      <c r="PWH18"/>
      <c r="PWI18" s="10"/>
      <c r="PWJ18" s="2"/>
      <c r="PWK18"/>
      <c r="PWL18" s="5"/>
      <c r="PWM18" s="2"/>
      <c r="PWN18" s="7"/>
      <c r="PWO18"/>
      <c r="PWP18"/>
      <c r="PWQ18" s="10"/>
      <c r="PWR18" s="2"/>
      <c r="PWS18"/>
      <c r="PWT18" s="5"/>
      <c r="PWU18" s="2"/>
      <c r="PWV18" s="7"/>
      <c r="PWW18"/>
      <c r="PWX18"/>
      <c r="PWY18" s="10"/>
      <c r="PWZ18" s="2"/>
      <c r="PXA18"/>
      <c r="PXB18" s="5"/>
      <c r="PXC18" s="2"/>
      <c r="PXD18" s="7"/>
      <c r="PXE18"/>
      <c r="PXF18"/>
      <c r="PXG18" s="10"/>
      <c r="PXH18" s="2"/>
      <c r="PXI18"/>
      <c r="PXJ18" s="5"/>
      <c r="PXK18" s="2"/>
      <c r="PXL18" s="7"/>
      <c r="PXM18"/>
      <c r="PXN18"/>
      <c r="PXO18" s="10"/>
      <c r="PXP18" s="2"/>
      <c r="PXQ18"/>
      <c r="PXR18" s="5"/>
      <c r="PXS18" s="2"/>
      <c r="PXT18" s="7"/>
      <c r="PXU18"/>
      <c r="PXV18"/>
      <c r="PXW18" s="10"/>
      <c r="PXX18" s="2"/>
      <c r="PXY18"/>
      <c r="PXZ18" s="5"/>
      <c r="PYA18" s="2"/>
      <c r="PYB18" s="7"/>
      <c r="PYC18"/>
      <c r="PYD18"/>
      <c r="PYE18" s="10"/>
      <c r="PYF18" s="2"/>
      <c r="PYG18"/>
      <c r="PYH18" s="5"/>
      <c r="PYI18" s="2"/>
      <c r="PYJ18" s="7"/>
      <c r="PYK18"/>
      <c r="PYL18"/>
      <c r="PYM18" s="10"/>
      <c r="PYN18" s="2"/>
      <c r="PYO18"/>
      <c r="PYP18" s="5"/>
      <c r="PYQ18" s="2"/>
      <c r="PYR18" s="7"/>
      <c r="PYS18"/>
      <c r="PYT18"/>
      <c r="PYU18" s="10"/>
      <c r="PYV18" s="2"/>
      <c r="PYW18"/>
      <c r="PYX18" s="5"/>
      <c r="PYY18" s="2"/>
      <c r="PYZ18" s="7"/>
      <c r="PZA18"/>
      <c r="PZB18"/>
      <c r="PZC18" s="10"/>
      <c r="PZD18" s="2"/>
      <c r="PZE18"/>
      <c r="PZF18" s="5"/>
      <c r="PZG18" s="2"/>
      <c r="PZH18" s="7"/>
      <c r="PZI18"/>
      <c r="PZJ18"/>
      <c r="PZK18" s="10"/>
      <c r="PZL18" s="2"/>
      <c r="PZM18"/>
      <c r="PZN18" s="5"/>
      <c r="PZO18" s="2"/>
      <c r="PZP18" s="7"/>
      <c r="PZQ18"/>
      <c r="PZR18"/>
      <c r="PZS18" s="10"/>
      <c r="PZT18" s="2"/>
      <c r="PZU18"/>
      <c r="PZV18" s="5"/>
      <c r="PZW18" s="2"/>
      <c r="PZX18" s="7"/>
      <c r="PZY18"/>
      <c r="PZZ18"/>
      <c r="QAA18" s="10"/>
      <c r="QAB18" s="2"/>
      <c r="QAC18"/>
      <c r="QAD18" s="5"/>
      <c r="QAE18" s="2"/>
      <c r="QAF18" s="7"/>
      <c r="QAG18"/>
      <c r="QAH18"/>
      <c r="QAI18" s="10"/>
      <c r="QAJ18" s="2"/>
      <c r="QAK18"/>
      <c r="QAL18" s="5"/>
      <c r="QAM18" s="2"/>
      <c r="QAN18" s="7"/>
      <c r="QAO18"/>
      <c r="QAP18"/>
      <c r="QAQ18" s="10"/>
      <c r="QAR18" s="2"/>
      <c r="QAS18"/>
      <c r="QAT18" s="5"/>
      <c r="QAU18" s="2"/>
      <c r="QAV18" s="7"/>
      <c r="QAW18"/>
      <c r="QAX18"/>
      <c r="QAY18" s="10"/>
      <c r="QAZ18" s="2"/>
      <c r="QBA18"/>
      <c r="QBB18" s="5"/>
      <c r="QBC18" s="2"/>
      <c r="QBD18" s="7"/>
      <c r="QBE18"/>
      <c r="QBF18"/>
      <c r="QBG18" s="10"/>
      <c r="QBH18" s="2"/>
      <c r="QBI18"/>
      <c r="QBJ18" s="5"/>
      <c r="QBK18" s="2"/>
      <c r="QBL18" s="7"/>
      <c r="QBM18"/>
      <c r="QBN18"/>
      <c r="QBO18" s="10"/>
      <c r="QBP18" s="2"/>
      <c r="QBQ18"/>
      <c r="QBR18" s="5"/>
      <c r="QBS18" s="2"/>
      <c r="QBT18" s="7"/>
      <c r="QBU18"/>
      <c r="QBV18"/>
      <c r="QBW18" s="10"/>
      <c r="QBX18" s="2"/>
      <c r="QBY18"/>
      <c r="QBZ18" s="5"/>
      <c r="QCA18" s="2"/>
      <c r="QCB18" s="7"/>
      <c r="QCC18"/>
      <c r="QCD18"/>
      <c r="QCE18" s="10"/>
      <c r="QCF18" s="2"/>
      <c r="QCG18"/>
      <c r="QCH18" s="5"/>
      <c r="QCI18" s="2"/>
      <c r="QCJ18" s="7"/>
      <c r="QCK18"/>
      <c r="QCL18"/>
      <c r="QCM18" s="10"/>
      <c r="QCN18" s="2"/>
      <c r="QCO18"/>
      <c r="QCP18" s="5"/>
      <c r="QCQ18" s="2"/>
      <c r="QCR18" s="7"/>
      <c r="QCS18"/>
      <c r="QCT18"/>
      <c r="QCU18" s="10"/>
      <c r="QCV18" s="2"/>
      <c r="QCW18"/>
      <c r="QCX18" s="5"/>
      <c r="QCY18" s="2"/>
      <c r="QCZ18" s="7"/>
      <c r="QDA18"/>
      <c r="QDB18"/>
      <c r="QDC18" s="10"/>
      <c r="QDD18" s="2"/>
      <c r="QDE18"/>
      <c r="QDF18" s="5"/>
      <c r="QDG18" s="2"/>
      <c r="QDH18" s="7"/>
      <c r="QDI18"/>
      <c r="QDJ18"/>
      <c r="QDK18" s="10"/>
      <c r="QDL18" s="2"/>
      <c r="QDM18"/>
      <c r="QDN18" s="5"/>
      <c r="QDO18" s="2"/>
      <c r="QDP18" s="7"/>
      <c r="QDQ18"/>
      <c r="QDR18"/>
      <c r="QDS18" s="10"/>
      <c r="QDT18" s="2"/>
      <c r="QDU18"/>
      <c r="QDV18" s="5"/>
      <c r="QDW18" s="2"/>
      <c r="QDX18" s="7"/>
      <c r="QDY18"/>
      <c r="QDZ18"/>
      <c r="QEA18" s="10"/>
      <c r="QEB18" s="2"/>
      <c r="QEC18"/>
      <c r="QED18" s="5"/>
      <c r="QEE18" s="2"/>
      <c r="QEF18" s="7"/>
      <c r="QEG18"/>
      <c r="QEH18"/>
      <c r="QEI18" s="10"/>
      <c r="QEJ18" s="2"/>
      <c r="QEK18"/>
      <c r="QEL18" s="5"/>
      <c r="QEM18" s="2"/>
      <c r="QEN18" s="7"/>
      <c r="QEO18"/>
      <c r="QEP18"/>
      <c r="QEQ18" s="10"/>
      <c r="QER18" s="2"/>
      <c r="QES18"/>
      <c r="QET18" s="5"/>
      <c r="QEU18" s="2"/>
      <c r="QEV18" s="7"/>
      <c r="QEW18"/>
      <c r="QEX18"/>
      <c r="QEY18" s="10"/>
      <c r="QEZ18" s="2"/>
      <c r="QFA18"/>
      <c r="QFB18" s="5"/>
      <c r="QFC18" s="2"/>
      <c r="QFD18" s="7"/>
      <c r="QFE18"/>
      <c r="QFF18"/>
      <c r="QFG18" s="10"/>
      <c r="QFH18" s="2"/>
      <c r="QFI18"/>
      <c r="QFJ18" s="5"/>
      <c r="QFK18" s="2"/>
      <c r="QFL18" s="7"/>
      <c r="QFM18"/>
      <c r="QFN18"/>
      <c r="QFO18" s="10"/>
      <c r="QFP18" s="2"/>
      <c r="QFQ18"/>
      <c r="QFR18" s="5"/>
      <c r="QFS18" s="2"/>
      <c r="QFT18" s="7"/>
      <c r="QFU18"/>
      <c r="QFV18"/>
      <c r="QFW18" s="10"/>
      <c r="QFX18" s="2"/>
      <c r="QFY18"/>
      <c r="QFZ18" s="5"/>
      <c r="QGA18" s="2"/>
      <c r="QGB18" s="7"/>
      <c r="QGC18"/>
      <c r="QGD18"/>
      <c r="QGE18" s="10"/>
      <c r="QGF18" s="2"/>
      <c r="QGG18"/>
      <c r="QGH18" s="5"/>
      <c r="QGI18" s="2"/>
      <c r="QGJ18" s="7"/>
      <c r="QGK18"/>
      <c r="QGL18"/>
      <c r="QGM18" s="10"/>
      <c r="QGN18" s="2"/>
      <c r="QGO18"/>
      <c r="QGP18" s="5"/>
      <c r="QGQ18" s="2"/>
      <c r="QGR18" s="7"/>
      <c r="QGS18"/>
      <c r="QGT18"/>
      <c r="QGU18" s="10"/>
      <c r="QGV18" s="2"/>
      <c r="QGW18"/>
      <c r="QGX18" s="5"/>
      <c r="QGY18" s="2"/>
      <c r="QGZ18" s="7"/>
      <c r="QHA18"/>
      <c r="QHB18"/>
      <c r="QHC18" s="10"/>
      <c r="QHD18" s="2"/>
      <c r="QHE18"/>
      <c r="QHF18" s="5"/>
      <c r="QHG18" s="2"/>
      <c r="QHH18" s="7"/>
      <c r="QHI18"/>
      <c r="QHJ18"/>
      <c r="QHK18" s="10"/>
      <c r="QHL18" s="2"/>
      <c r="QHM18"/>
      <c r="QHN18" s="5"/>
      <c r="QHO18" s="2"/>
      <c r="QHP18" s="7"/>
      <c r="QHQ18"/>
      <c r="QHR18"/>
      <c r="QHS18" s="10"/>
      <c r="QHT18" s="2"/>
      <c r="QHU18"/>
      <c r="QHV18" s="5"/>
      <c r="QHW18" s="2"/>
      <c r="QHX18" s="7"/>
      <c r="QHY18"/>
      <c r="QHZ18"/>
      <c r="QIA18" s="10"/>
      <c r="QIB18" s="2"/>
      <c r="QIC18"/>
      <c r="QID18" s="5"/>
      <c r="QIE18" s="2"/>
      <c r="QIF18" s="7"/>
      <c r="QIG18"/>
      <c r="QIH18"/>
      <c r="QII18" s="10"/>
      <c r="QIJ18" s="2"/>
      <c r="QIK18"/>
      <c r="QIL18" s="5"/>
      <c r="QIM18" s="2"/>
      <c r="QIN18" s="7"/>
      <c r="QIO18"/>
      <c r="QIP18"/>
      <c r="QIQ18" s="10"/>
      <c r="QIR18" s="2"/>
      <c r="QIS18"/>
      <c r="QIT18" s="5"/>
      <c r="QIU18" s="2"/>
      <c r="QIV18" s="7"/>
      <c r="QIW18"/>
      <c r="QIX18"/>
      <c r="QIY18" s="10"/>
      <c r="QIZ18" s="2"/>
      <c r="QJA18"/>
      <c r="QJB18" s="5"/>
      <c r="QJC18" s="2"/>
      <c r="QJD18" s="7"/>
      <c r="QJE18"/>
      <c r="QJF18"/>
      <c r="QJG18" s="10"/>
      <c r="QJH18" s="2"/>
      <c r="QJI18"/>
      <c r="QJJ18" s="5"/>
      <c r="QJK18" s="2"/>
      <c r="QJL18" s="7"/>
      <c r="QJM18"/>
      <c r="QJN18"/>
      <c r="QJO18" s="10"/>
      <c r="QJP18" s="2"/>
      <c r="QJQ18"/>
      <c r="QJR18" s="5"/>
      <c r="QJS18" s="2"/>
      <c r="QJT18" s="7"/>
      <c r="QJU18"/>
      <c r="QJV18"/>
      <c r="QJW18" s="10"/>
      <c r="QJX18" s="2"/>
      <c r="QJY18"/>
      <c r="QJZ18" s="5"/>
      <c r="QKA18" s="2"/>
      <c r="QKB18" s="7"/>
      <c r="QKC18"/>
      <c r="QKD18"/>
      <c r="QKE18" s="10"/>
      <c r="QKF18" s="2"/>
      <c r="QKG18"/>
      <c r="QKH18" s="5"/>
      <c r="QKI18" s="2"/>
      <c r="QKJ18" s="7"/>
      <c r="QKK18"/>
      <c r="QKL18"/>
      <c r="QKM18" s="10"/>
      <c r="QKN18" s="2"/>
      <c r="QKO18"/>
      <c r="QKP18" s="5"/>
      <c r="QKQ18" s="2"/>
      <c r="QKR18" s="7"/>
      <c r="QKS18"/>
      <c r="QKT18"/>
      <c r="QKU18" s="10"/>
      <c r="QKV18" s="2"/>
      <c r="QKW18"/>
      <c r="QKX18" s="5"/>
      <c r="QKY18" s="2"/>
      <c r="QKZ18" s="7"/>
      <c r="QLA18"/>
      <c r="QLB18"/>
      <c r="QLC18" s="10"/>
      <c r="QLD18" s="2"/>
      <c r="QLE18"/>
      <c r="QLF18" s="5"/>
      <c r="QLG18" s="2"/>
      <c r="QLH18" s="7"/>
      <c r="QLI18"/>
      <c r="QLJ18"/>
      <c r="QLK18" s="10"/>
      <c r="QLL18" s="2"/>
      <c r="QLM18"/>
      <c r="QLN18" s="5"/>
      <c r="QLO18" s="2"/>
      <c r="QLP18" s="7"/>
      <c r="QLQ18"/>
      <c r="QLR18"/>
      <c r="QLS18" s="10"/>
      <c r="QLT18" s="2"/>
      <c r="QLU18"/>
      <c r="QLV18" s="5"/>
      <c r="QLW18" s="2"/>
      <c r="QLX18" s="7"/>
      <c r="QLY18"/>
      <c r="QLZ18"/>
      <c r="QMA18" s="10"/>
      <c r="QMB18" s="2"/>
      <c r="QMC18"/>
      <c r="QMD18" s="5"/>
      <c r="QME18" s="2"/>
      <c r="QMF18" s="7"/>
      <c r="QMG18"/>
      <c r="QMH18"/>
      <c r="QMI18" s="10"/>
      <c r="QMJ18" s="2"/>
      <c r="QMK18"/>
      <c r="QML18" s="5"/>
      <c r="QMM18" s="2"/>
      <c r="QMN18" s="7"/>
      <c r="QMO18"/>
      <c r="QMP18"/>
      <c r="QMQ18" s="10"/>
      <c r="QMR18" s="2"/>
      <c r="QMS18"/>
      <c r="QMT18" s="5"/>
      <c r="QMU18" s="2"/>
      <c r="QMV18" s="7"/>
      <c r="QMW18"/>
      <c r="QMX18"/>
      <c r="QMY18" s="10"/>
      <c r="QMZ18" s="2"/>
      <c r="QNA18"/>
      <c r="QNB18" s="5"/>
      <c r="QNC18" s="2"/>
      <c r="QND18" s="7"/>
      <c r="QNE18"/>
      <c r="QNF18"/>
      <c r="QNG18" s="10"/>
      <c r="QNH18" s="2"/>
      <c r="QNI18"/>
      <c r="QNJ18" s="5"/>
      <c r="QNK18" s="2"/>
      <c r="QNL18" s="7"/>
      <c r="QNM18"/>
      <c r="QNN18"/>
      <c r="QNO18" s="10"/>
      <c r="QNP18" s="2"/>
      <c r="QNQ18"/>
      <c r="QNR18" s="5"/>
      <c r="QNS18" s="2"/>
      <c r="QNT18" s="7"/>
      <c r="QNU18"/>
      <c r="QNV18"/>
      <c r="QNW18" s="10"/>
      <c r="QNX18" s="2"/>
      <c r="QNY18"/>
      <c r="QNZ18" s="5"/>
      <c r="QOA18" s="2"/>
      <c r="QOB18" s="7"/>
      <c r="QOC18"/>
      <c r="QOD18"/>
      <c r="QOE18" s="10"/>
      <c r="QOF18" s="2"/>
      <c r="QOG18"/>
      <c r="QOH18" s="5"/>
      <c r="QOI18" s="2"/>
      <c r="QOJ18" s="7"/>
      <c r="QOK18"/>
      <c r="QOL18"/>
      <c r="QOM18" s="10"/>
      <c r="QON18" s="2"/>
      <c r="QOO18"/>
      <c r="QOP18" s="5"/>
      <c r="QOQ18" s="2"/>
      <c r="QOR18" s="7"/>
      <c r="QOS18"/>
      <c r="QOT18"/>
      <c r="QOU18" s="10"/>
      <c r="QOV18" s="2"/>
      <c r="QOW18"/>
      <c r="QOX18" s="5"/>
      <c r="QOY18" s="2"/>
      <c r="QOZ18" s="7"/>
      <c r="QPA18"/>
      <c r="QPB18"/>
      <c r="QPC18" s="10"/>
      <c r="QPD18" s="2"/>
      <c r="QPE18"/>
      <c r="QPF18" s="5"/>
      <c r="QPG18" s="2"/>
      <c r="QPH18" s="7"/>
      <c r="QPI18"/>
      <c r="QPJ18"/>
      <c r="QPK18" s="10"/>
      <c r="QPL18" s="2"/>
      <c r="QPM18"/>
      <c r="QPN18" s="5"/>
      <c r="QPO18" s="2"/>
      <c r="QPP18" s="7"/>
      <c r="QPQ18"/>
      <c r="QPR18"/>
      <c r="QPS18" s="10"/>
      <c r="QPT18" s="2"/>
      <c r="QPU18"/>
      <c r="QPV18" s="5"/>
      <c r="QPW18" s="2"/>
      <c r="QPX18" s="7"/>
      <c r="QPY18"/>
      <c r="QPZ18"/>
      <c r="QQA18" s="10"/>
      <c r="QQB18" s="2"/>
      <c r="QQC18"/>
      <c r="QQD18" s="5"/>
      <c r="QQE18" s="2"/>
      <c r="QQF18" s="7"/>
      <c r="QQG18"/>
      <c r="QQH18"/>
      <c r="QQI18" s="10"/>
      <c r="QQJ18" s="2"/>
      <c r="QQK18"/>
      <c r="QQL18" s="5"/>
      <c r="QQM18" s="2"/>
      <c r="QQN18" s="7"/>
      <c r="QQO18"/>
      <c r="QQP18"/>
      <c r="QQQ18" s="10"/>
      <c r="QQR18" s="2"/>
      <c r="QQS18"/>
      <c r="QQT18" s="5"/>
      <c r="QQU18" s="2"/>
      <c r="QQV18" s="7"/>
      <c r="QQW18"/>
      <c r="QQX18"/>
      <c r="QQY18" s="10"/>
      <c r="QQZ18" s="2"/>
      <c r="QRA18"/>
      <c r="QRB18" s="5"/>
      <c r="QRC18" s="2"/>
      <c r="QRD18" s="7"/>
      <c r="QRE18"/>
      <c r="QRF18"/>
      <c r="QRG18" s="10"/>
      <c r="QRH18" s="2"/>
      <c r="QRI18"/>
      <c r="QRJ18" s="5"/>
      <c r="QRK18" s="2"/>
      <c r="QRL18" s="7"/>
      <c r="QRM18"/>
      <c r="QRN18"/>
      <c r="QRO18" s="10"/>
      <c r="QRP18" s="2"/>
      <c r="QRQ18"/>
      <c r="QRR18" s="5"/>
      <c r="QRS18" s="2"/>
      <c r="QRT18" s="7"/>
      <c r="QRU18"/>
      <c r="QRV18"/>
      <c r="QRW18" s="10"/>
      <c r="QRX18" s="2"/>
      <c r="QRY18"/>
      <c r="QRZ18" s="5"/>
      <c r="QSA18" s="2"/>
      <c r="QSB18" s="7"/>
      <c r="QSC18"/>
      <c r="QSD18"/>
      <c r="QSE18" s="10"/>
      <c r="QSF18" s="2"/>
      <c r="QSG18"/>
      <c r="QSH18" s="5"/>
      <c r="QSI18" s="2"/>
      <c r="QSJ18" s="7"/>
      <c r="QSK18"/>
      <c r="QSL18"/>
      <c r="QSM18" s="10"/>
      <c r="QSN18" s="2"/>
      <c r="QSO18"/>
      <c r="QSP18" s="5"/>
      <c r="QSQ18" s="2"/>
      <c r="QSR18" s="7"/>
      <c r="QSS18"/>
      <c r="QST18"/>
      <c r="QSU18" s="10"/>
      <c r="QSV18" s="2"/>
      <c r="QSW18"/>
      <c r="QSX18" s="5"/>
      <c r="QSY18" s="2"/>
      <c r="QSZ18" s="7"/>
      <c r="QTA18"/>
      <c r="QTB18"/>
      <c r="QTC18" s="10"/>
      <c r="QTD18" s="2"/>
      <c r="QTE18"/>
      <c r="QTF18" s="5"/>
      <c r="QTG18" s="2"/>
      <c r="QTH18" s="7"/>
      <c r="QTI18"/>
      <c r="QTJ18"/>
      <c r="QTK18" s="10"/>
      <c r="QTL18" s="2"/>
      <c r="QTM18"/>
      <c r="QTN18" s="5"/>
      <c r="QTO18" s="2"/>
      <c r="QTP18" s="7"/>
      <c r="QTQ18"/>
      <c r="QTR18"/>
      <c r="QTS18" s="10"/>
      <c r="QTT18" s="2"/>
      <c r="QTU18"/>
      <c r="QTV18" s="5"/>
      <c r="QTW18" s="2"/>
      <c r="QTX18" s="7"/>
      <c r="QTY18"/>
      <c r="QTZ18"/>
      <c r="QUA18" s="10"/>
      <c r="QUB18" s="2"/>
      <c r="QUC18"/>
      <c r="QUD18" s="5"/>
      <c r="QUE18" s="2"/>
      <c r="QUF18" s="7"/>
      <c r="QUG18"/>
      <c r="QUH18"/>
      <c r="QUI18" s="10"/>
      <c r="QUJ18" s="2"/>
      <c r="QUK18"/>
      <c r="QUL18" s="5"/>
      <c r="QUM18" s="2"/>
      <c r="QUN18" s="7"/>
      <c r="QUO18"/>
      <c r="QUP18"/>
      <c r="QUQ18" s="10"/>
      <c r="QUR18" s="2"/>
      <c r="QUS18"/>
      <c r="QUT18" s="5"/>
      <c r="QUU18" s="2"/>
      <c r="QUV18" s="7"/>
      <c r="QUW18"/>
      <c r="QUX18"/>
      <c r="QUY18" s="10"/>
      <c r="QUZ18" s="2"/>
      <c r="QVA18"/>
      <c r="QVB18" s="5"/>
      <c r="QVC18" s="2"/>
      <c r="QVD18" s="7"/>
      <c r="QVE18"/>
      <c r="QVF18"/>
      <c r="QVG18" s="10"/>
      <c r="QVH18" s="2"/>
      <c r="QVI18"/>
      <c r="QVJ18" s="5"/>
      <c r="QVK18" s="2"/>
      <c r="QVL18" s="7"/>
      <c r="QVM18"/>
      <c r="QVN18"/>
      <c r="QVO18" s="10"/>
      <c r="QVP18" s="2"/>
      <c r="QVQ18"/>
      <c r="QVR18" s="5"/>
      <c r="QVS18" s="2"/>
      <c r="QVT18" s="7"/>
      <c r="QVU18"/>
      <c r="QVV18"/>
      <c r="QVW18" s="10"/>
      <c r="QVX18" s="2"/>
      <c r="QVY18"/>
      <c r="QVZ18" s="5"/>
      <c r="QWA18" s="2"/>
      <c r="QWB18" s="7"/>
      <c r="QWC18"/>
      <c r="QWD18"/>
      <c r="QWE18" s="10"/>
      <c r="QWF18" s="2"/>
      <c r="QWG18"/>
      <c r="QWH18" s="5"/>
      <c r="QWI18" s="2"/>
      <c r="QWJ18" s="7"/>
      <c r="QWK18"/>
      <c r="QWL18"/>
      <c r="QWM18" s="10"/>
      <c r="QWN18" s="2"/>
      <c r="QWO18"/>
      <c r="QWP18" s="5"/>
      <c r="QWQ18" s="2"/>
      <c r="QWR18" s="7"/>
      <c r="QWS18"/>
      <c r="QWT18"/>
      <c r="QWU18" s="10"/>
      <c r="QWV18" s="2"/>
      <c r="QWW18"/>
      <c r="QWX18" s="5"/>
      <c r="QWY18" s="2"/>
      <c r="QWZ18" s="7"/>
      <c r="QXA18"/>
      <c r="QXB18"/>
      <c r="QXC18" s="10"/>
      <c r="QXD18" s="2"/>
      <c r="QXE18"/>
      <c r="QXF18" s="5"/>
      <c r="QXG18" s="2"/>
      <c r="QXH18" s="7"/>
      <c r="QXI18"/>
      <c r="QXJ18"/>
      <c r="QXK18" s="10"/>
      <c r="QXL18" s="2"/>
      <c r="QXM18"/>
      <c r="QXN18" s="5"/>
      <c r="QXO18" s="2"/>
      <c r="QXP18" s="7"/>
      <c r="QXQ18"/>
      <c r="QXR18"/>
      <c r="QXS18" s="10"/>
      <c r="QXT18" s="2"/>
      <c r="QXU18"/>
      <c r="QXV18" s="5"/>
      <c r="QXW18" s="2"/>
      <c r="QXX18" s="7"/>
      <c r="QXY18"/>
      <c r="QXZ18"/>
      <c r="QYA18" s="10"/>
      <c r="QYB18" s="2"/>
      <c r="QYC18"/>
      <c r="QYD18" s="5"/>
      <c r="QYE18" s="2"/>
      <c r="QYF18" s="7"/>
      <c r="QYG18"/>
      <c r="QYH18"/>
      <c r="QYI18" s="10"/>
      <c r="QYJ18" s="2"/>
      <c r="QYK18"/>
      <c r="QYL18" s="5"/>
      <c r="QYM18" s="2"/>
      <c r="QYN18" s="7"/>
      <c r="QYO18"/>
      <c r="QYP18"/>
      <c r="QYQ18" s="10"/>
      <c r="QYR18" s="2"/>
      <c r="QYS18"/>
      <c r="QYT18" s="5"/>
      <c r="QYU18" s="2"/>
      <c r="QYV18" s="7"/>
      <c r="QYW18"/>
      <c r="QYX18"/>
      <c r="QYY18" s="10"/>
      <c r="QYZ18" s="2"/>
      <c r="QZA18"/>
      <c r="QZB18" s="5"/>
      <c r="QZC18" s="2"/>
      <c r="QZD18" s="7"/>
      <c r="QZE18"/>
      <c r="QZF18"/>
      <c r="QZG18" s="10"/>
      <c r="QZH18" s="2"/>
      <c r="QZI18"/>
      <c r="QZJ18" s="5"/>
      <c r="QZK18" s="2"/>
      <c r="QZL18" s="7"/>
      <c r="QZM18"/>
      <c r="QZN18"/>
      <c r="QZO18" s="10"/>
      <c r="QZP18" s="2"/>
      <c r="QZQ18"/>
      <c r="QZR18" s="5"/>
      <c r="QZS18" s="2"/>
      <c r="QZT18" s="7"/>
      <c r="QZU18"/>
      <c r="QZV18"/>
      <c r="QZW18" s="10"/>
      <c r="QZX18" s="2"/>
      <c r="QZY18"/>
      <c r="QZZ18" s="5"/>
      <c r="RAA18" s="2"/>
      <c r="RAB18" s="7"/>
      <c r="RAC18"/>
      <c r="RAD18"/>
      <c r="RAE18" s="10"/>
      <c r="RAF18" s="2"/>
      <c r="RAG18"/>
      <c r="RAH18" s="5"/>
      <c r="RAI18" s="2"/>
      <c r="RAJ18" s="7"/>
      <c r="RAK18"/>
      <c r="RAL18"/>
      <c r="RAM18" s="10"/>
      <c r="RAN18" s="2"/>
      <c r="RAO18"/>
      <c r="RAP18" s="5"/>
      <c r="RAQ18" s="2"/>
      <c r="RAR18" s="7"/>
      <c r="RAS18"/>
      <c r="RAT18"/>
      <c r="RAU18" s="10"/>
      <c r="RAV18" s="2"/>
      <c r="RAW18"/>
      <c r="RAX18" s="5"/>
      <c r="RAY18" s="2"/>
      <c r="RAZ18" s="7"/>
      <c r="RBA18"/>
      <c r="RBB18"/>
      <c r="RBC18" s="10"/>
      <c r="RBD18" s="2"/>
      <c r="RBE18"/>
      <c r="RBF18" s="5"/>
      <c r="RBG18" s="2"/>
      <c r="RBH18" s="7"/>
      <c r="RBI18"/>
      <c r="RBJ18"/>
      <c r="RBK18" s="10"/>
      <c r="RBL18" s="2"/>
      <c r="RBM18"/>
      <c r="RBN18" s="5"/>
      <c r="RBO18" s="2"/>
      <c r="RBP18" s="7"/>
      <c r="RBQ18"/>
      <c r="RBR18"/>
      <c r="RBS18" s="10"/>
      <c r="RBT18" s="2"/>
      <c r="RBU18"/>
      <c r="RBV18" s="5"/>
      <c r="RBW18" s="2"/>
      <c r="RBX18" s="7"/>
      <c r="RBY18"/>
      <c r="RBZ18"/>
      <c r="RCA18" s="10"/>
      <c r="RCB18" s="2"/>
      <c r="RCC18"/>
      <c r="RCD18" s="5"/>
      <c r="RCE18" s="2"/>
      <c r="RCF18" s="7"/>
      <c r="RCG18"/>
      <c r="RCH18"/>
      <c r="RCI18" s="10"/>
      <c r="RCJ18" s="2"/>
      <c r="RCK18"/>
      <c r="RCL18" s="5"/>
      <c r="RCM18" s="2"/>
      <c r="RCN18" s="7"/>
      <c r="RCO18"/>
      <c r="RCP18"/>
      <c r="RCQ18" s="10"/>
      <c r="RCR18" s="2"/>
      <c r="RCS18"/>
      <c r="RCT18" s="5"/>
      <c r="RCU18" s="2"/>
      <c r="RCV18" s="7"/>
      <c r="RCW18"/>
      <c r="RCX18"/>
      <c r="RCY18" s="10"/>
      <c r="RCZ18" s="2"/>
      <c r="RDA18"/>
      <c r="RDB18" s="5"/>
      <c r="RDC18" s="2"/>
      <c r="RDD18" s="7"/>
      <c r="RDE18"/>
      <c r="RDF18"/>
      <c r="RDG18" s="10"/>
      <c r="RDH18" s="2"/>
      <c r="RDI18"/>
      <c r="RDJ18" s="5"/>
      <c r="RDK18" s="2"/>
      <c r="RDL18" s="7"/>
      <c r="RDM18"/>
      <c r="RDN18"/>
      <c r="RDO18" s="10"/>
      <c r="RDP18" s="2"/>
      <c r="RDQ18"/>
      <c r="RDR18" s="5"/>
      <c r="RDS18" s="2"/>
      <c r="RDT18" s="7"/>
      <c r="RDU18"/>
      <c r="RDV18"/>
      <c r="RDW18" s="10"/>
      <c r="RDX18" s="2"/>
      <c r="RDY18"/>
      <c r="RDZ18" s="5"/>
      <c r="REA18" s="2"/>
      <c r="REB18" s="7"/>
      <c r="REC18"/>
      <c r="RED18"/>
      <c r="REE18" s="10"/>
      <c r="REF18" s="2"/>
      <c r="REG18"/>
      <c r="REH18" s="5"/>
      <c r="REI18" s="2"/>
      <c r="REJ18" s="7"/>
      <c r="REK18"/>
      <c r="REL18"/>
      <c r="REM18" s="10"/>
      <c r="REN18" s="2"/>
      <c r="REO18"/>
      <c r="REP18" s="5"/>
      <c r="REQ18" s="2"/>
      <c r="RER18" s="7"/>
      <c r="RES18"/>
      <c r="RET18"/>
      <c r="REU18" s="10"/>
      <c r="REV18" s="2"/>
      <c r="REW18"/>
      <c r="REX18" s="5"/>
      <c r="REY18" s="2"/>
      <c r="REZ18" s="7"/>
      <c r="RFA18"/>
      <c r="RFB18"/>
      <c r="RFC18" s="10"/>
      <c r="RFD18" s="2"/>
      <c r="RFE18"/>
      <c r="RFF18" s="5"/>
      <c r="RFG18" s="2"/>
      <c r="RFH18" s="7"/>
      <c r="RFI18"/>
      <c r="RFJ18"/>
      <c r="RFK18" s="10"/>
      <c r="RFL18" s="2"/>
      <c r="RFM18"/>
      <c r="RFN18" s="5"/>
      <c r="RFO18" s="2"/>
      <c r="RFP18" s="7"/>
      <c r="RFQ18"/>
      <c r="RFR18"/>
      <c r="RFS18" s="10"/>
      <c r="RFT18" s="2"/>
      <c r="RFU18"/>
      <c r="RFV18" s="5"/>
      <c r="RFW18" s="2"/>
      <c r="RFX18" s="7"/>
      <c r="RFY18"/>
      <c r="RFZ18"/>
      <c r="RGA18" s="10"/>
      <c r="RGB18" s="2"/>
      <c r="RGC18"/>
      <c r="RGD18" s="5"/>
      <c r="RGE18" s="2"/>
      <c r="RGF18" s="7"/>
      <c r="RGG18"/>
      <c r="RGH18"/>
      <c r="RGI18" s="10"/>
      <c r="RGJ18" s="2"/>
      <c r="RGK18"/>
      <c r="RGL18" s="5"/>
      <c r="RGM18" s="2"/>
      <c r="RGN18" s="7"/>
      <c r="RGO18"/>
      <c r="RGP18"/>
      <c r="RGQ18" s="10"/>
      <c r="RGR18" s="2"/>
      <c r="RGS18"/>
      <c r="RGT18" s="5"/>
      <c r="RGU18" s="2"/>
      <c r="RGV18" s="7"/>
      <c r="RGW18"/>
      <c r="RGX18"/>
      <c r="RGY18" s="10"/>
      <c r="RGZ18" s="2"/>
      <c r="RHA18"/>
      <c r="RHB18" s="5"/>
      <c r="RHC18" s="2"/>
      <c r="RHD18" s="7"/>
      <c r="RHE18"/>
      <c r="RHF18"/>
      <c r="RHG18" s="10"/>
      <c r="RHH18" s="2"/>
      <c r="RHI18"/>
      <c r="RHJ18" s="5"/>
      <c r="RHK18" s="2"/>
      <c r="RHL18" s="7"/>
      <c r="RHM18"/>
      <c r="RHN18"/>
      <c r="RHO18" s="10"/>
      <c r="RHP18" s="2"/>
      <c r="RHQ18"/>
      <c r="RHR18" s="5"/>
      <c r="RHS18" s="2"/>
      <c r="RHT18" s="7"/>
      <c r="RHU18"/>
      <c r="RHV18"/>
      <c r="RHW18" s="10"/>
      <c r="RHX18" s="2"/>
      <c r="RHY18"/>
      <c r="RHZ18" s="5"/>
      <c r="RIA18" s="2"/>
      <c r="RIB18" s="7"/>
      <c r="RIC18"/>
      <c r="RID18"/>
      <c r="RIE18" s="10"/>
      <c r="RIF18" s="2"/>
      <c r="RIG18"/>
      <c r="RIH18" s="5"/>
      <c r="RII18" s="2"/>
      <c r="RIJ18" s="7"/>
      <c r="RIK18"/>
      <c r="RIL18"/>
      <c r="RIM18" s="10"/>
      <c r="RIN18" s="2"/>
      <c r="RIO18"/>
      <c r="RIP18" s="5"/>
      <c r="RIQ18" s="2"/>
      <c r="RIR18" s="7"/>
      <c r="RIS18"/>
      <c r="RIT18"/>
      <c r="RIU18" s="10"/>
      <c r="RIV18" s="2"/>
      <c r="RIW18"/>
      <c r="RIX18" s="5"/>
      <c r="RIY18" s="2"/>
      <c r="RIZ18" s="7"/>
      <c r="RJA18"/>
      <c r="RJB18"/>
      <c r="RJC18" s="10"/>
      <c r="RJD18" s="2"/>
      <c r="RJE18"/>
      <c r="RJF18" s="5"/>
      <c r="RJG18" s="2"/>
      <c r="RJH18" s="7"/>
      <c r="RJI18"/>
      <c r="RJJ18"/>
      <c r="RJK18" s="10"/>
      <c r="RJL18" s="2"/>
      <c r="RJM18"/>
      <c r="RJN18" s="5"/>
      <c r="RJO18" s="2"/>
      <c r="RJP18" s="7"/>
      <c r="RJQ18"/>
      <c r="RJR18"/>
      <c r="RJS18" s="10"/>
      <c r="RJT18" s="2"/>
      <c r="RJU18"/>
      <c r="RJV18" s="5"/>
      <c r="RJW18" s="2"/>
      <c r="RJX18" s="7"/>
      <c r="RJY18"/>
      <c r="RJZ18"/>
      <c r="RKA18" s="10"/>
      <c r="RKB18" s="2"/>
      <c r="RKC18"/>
      <c r="RKD18" s="5"/>
      <c r="RKE18" s="2"/>
      <c r="RKF18" s="7"/>
      <c r="RKG18"/>
      <c r="RKH18"/>
      <c r="RKI18" s="10"/>
      <c r="RKJ18" s="2"/>
      <c r="RKK18"/>
      <c r="RKL18" s="5"/>
      <c r="RKM18" s="2"/>
      <c r="RKN18" s="7"/>
      <c r="RKO18"/>
      <c r="RKP18"/>
      <c r="RKQ18" s="10"/>
      <c r="RKR18" s="2"/>
      <c r="RKS18"/>
      <c r="RKT18" s="5"/>
      <c r="RKU18" s="2"/>
      <c r="RKV18" s="7"/>
      <c r="RKW18"/>
      <c r="RKX18"/>
      <c r="RKY18" s="10"/>
      <c r="RKZ18" s="2"/>
      <c r="RLA18"/>
      <c r="RLB18" s="5"/>
      <c r="RLC18" s="2"/>
      <c r="RLD18" s="7"/>
      <c r="RLE18"/>
      <c r="RLF18"/>
      <c r="RLG18" s="10"/>
      <c r="RLH18" s="2"/>
      <c r="RLI18"/>
      <c r="RLJ18" s="5"/>
      <c r="RLK18" s="2"/>
      <c r="RLL18" s="7"/>
      <c r="RLM18"/>
      <c r="RLN18"/>
      <c r="RLO18" s="10"/>
      <c r="RLP18" s="2"/>
      <c r="RLQ18"/>
      <c r="RLR18" s="5"/>
      <c r="RLS18" s="2"/>
      <c r="RLT18" s="7"/>
      <c r="RLU18"/>
      <c r="RLV18"/>
      <c r="RLW18" s="10"/>
      <c r="RLX18" s="2"/>
      <c r="RLY18"/>
      <c r="RLZ18" s="5"/>
      <c r="RMA18" s="2"/>
      <c r="RMB18" s="7"/>
      <c r="RMC18"/>
      <c r="RMD18"/>
      <c r="RME18" s="10"/>
      <c r="RMF18" s="2"/>
      <c r="RMG18"/>
      <c r="RMH18" s="5"/>
      <c r="RMI18" s="2"/>
      <c r="RMJ18" s="7"/>
      <c r="RMK18"/>
      <c r="RML18"/>
      <c r="RMM18" s="10"/>
      <c r="RMN18" s="2"/>
      <c r="RMO18"/>
      <c r="RMP18" s="5"/>
      <c r="RMQ18" s="2"/>
      <c r="RMR18" s="7"/>
      <c r="RMS18"/>
      <c r="RMT18"/>
      <c r="RMU18" s="10"/>
      <c r="RMV18" s="2"/>
      <c r="RMW18"/>
      <c r="RMX18" s="5"/>
      <c r="RMY18" s="2"/>
      <c r="RMZ18" s="7"/>
      <c r="RNA18"/>
      <c r="RNB18"/>
      <c r="RNC18" s="10"/>
      <c r="RND18" s="2"/>
      <c r="RNE18"/>
      <c r="RNF18" s="5"/>
      <c r="RNG18" s="2"/>
      <c r="RNH18" s="7"/>
      <c r="RNI18"/>
      <c r="RNJ18"/>
      <c r="RNK18" s="10"/>
      <c r="RNL18" s="2"/>
      <c r="RNM18"/>
      <c r="RNN18" s="5"/>
      <c r="RNO18" s="2"/>
      <c r="RNP18" s="7"/>
      <c r="RNQ18"/>
      <c r="RNR18"/>
      <c r="RNS18" s="10"/>
      <c r="RNT18" s="2"/>
      <c r="RNU18"/>
      <c r="RNV18" s="5"/>
      <c r="RNW18" s="2"/>
      <c r="RNX18" s="7"/>
      <c r="RNY18"/>
      <c r="RNZ18"/>
      <c r="ROA18" s="10"/>
      <c r="ROB18" s="2"/>
      <c r="ROC18"/>
      <c r="ROD18" s="5"/>
      <c r="ROE18" s="2"/>
      <c r="ROF18" s="7"/>
      <c r="ROG18"/>
      <c r="ROH18"/>
      <c r="ROI18" s="10"/>
      <c r="ROJ18" s="2"/>
      <c r="ROK18"/>
      <c r="ROL18" s="5"/>
      <c r="ROM18" s="2"/>
      <c r="RON18" s="7"/>
      <c r="ROO18"/>
      <c r="ROP18"/>
      <c r="ROQ18" s="10"/>
      <c r="ROR18" s="2"/>
      <c r="ROS18"/>
      <c r="ROT18" s="5"/>
      <c r="ROU18" s="2"/>
      <c r="ROV18" s="7"/>
      <c r="ROW18"/>
      <c r="ROX18"/>
      <c r="ROY18" s="10"/>
      <c r="ROZ18" s="2"/>
      <c r="RPA18"/>
      <c r="RPB18" s="5"/>
      <c r="RPC18" s="2"/>
      <c r="RPD18" s="7"/>
      <c r="RPE18"/>
      <c r="RPF18"/>
      <c r="RPG18" s="10"/>
      <c r="RPH18" s="2"/>
      <c r="RPI18"/>
      <c r="RPJ18" s="5"/>
      <c r="RPK18" s="2"/>
      <c r="RPL18" s="7"/>
      <c r="RPM18"/>
      <c r="RPN18"/>
      <c r="RPO18" s="10"/>
      <c r="RPP18" s="2"/>
      <c r="RPQ18"/>
      <c r="RPR18" s="5"/>
      <c r="RPS18" s="2"/>
      <c r="RPT18" s="7"/>
      <c r="RPU18"/>
      <c r="RPV18"/>
      <c r="RPW18" s="10"/>
      <c r="RPX18" s="2"/>
      <c r="RPY18"/>
      <c r="RPZ18" s="5"/>
      <c r="RQA18" s="2"/>
      <c r="RQB18" s="7"/>
      <c r="RQC18"/>
      <c r="RQD18"/>
      <c r="RQE18" s="10"/>
      <c r="RQF18" s="2"/>
      <c r="RQG18"/>
      <c r="RQH18" s="5"/>
      <c r="RQI18" s="2"/>
      <c r="RQJ18" s="7"/>
      <c r="RQK18"/>
      <c r="RQL18"/>
      <c r="RQM18" s="10"/>
      <c r="RQN18" s="2"/>
      <c r="RQO18"/>
      <c r="RQP18" s="5"/>
      <c r="RQQ18" s="2"/>
      <c r="RQR18" s="7"/>
      <c r="RQS18"/>
      <c r="RQT18"/>
      <c r="RQU18" s="10"/>
      <c r="RQV18" s="2"/>
      <c r="RQW18"/>
      <c r="RQX18" s="5"/>
      <c r="RQY18" s="2"/>
      <c r="RQZ18" s="7"/>
      <c r="RRA18"/>
      <c r="RRB18"/>
      <c r="RRC18" s="10"/>
      <c r="RRD18" s="2"/>
      <c r="RRE18"/>
      <c r="RRF18" s="5"/>
      <c r="RRG18" s="2"/>
      <c r="RRH18" s="7"/>
      <c r="RRI18"/>
      <c r="RRJ18"/>
      <c r="RRK18" s="10"/>
      <c r="RRL18" s="2"/>
      <c r="RRM18"/>
      <c r="RRN18" s="5"/>
      <c r="RRO18" s="2"/>
      <c r="RRP18" s="7"/>
      <c r="RRQ18"/>
      <c r="RRR18"/>
      <c r="RRS18" s="10"/>
      <c r="RRT18" s="2"/>
      <c r="RRU18"/>
      <c r="RRV18" s="5"/>
      <c r="RRW18" s="2"/>
      <c r="RRX18" s="7"/>
      <c r="RRY18"/>
      <c r="RRZ18"/>
      <c r="RSA18" s="10"/>
      <c r="RSB18" s="2"/>
      <c r="RSC18"/>
      <c r="RSD18" s="5"/>
      <c r="RSE18" s="2"/>
      <c r="RSF18" s="7"/>
      <c r="RSG18"/>
      <c r="RSH18"/>
      <c r="RSI18" s="10"/>
      <c r="RSJ18" s="2"/>
      <c r="RSK18"/>
      <c r="RSL18" s="5"/>
      <c r="RSM18" s="2"/>
      <c r="RSN18" s="7"/>
      <c r="RSO18"/>
      <c r="RSP18"/>
      <c r="RSQ18" s="10"/>
      <c r="RSR18" s="2"/>
      <c r="RSS18"/>
      <c r="RST18" s="5"/>
      <c r="RSU18" s="2"/>
      <c r="RSV18" s="7"/>
      <c r="RSW18"/>
      <c r="RSX18"/>
      <c r="RSY18" s="10"/>
      <c r="RSZ18" s="2"/>
      <c r="RTA18"/>
      <c r="RTB18" s="5"/>
      <c r="RTC18" s="2"/>
      <c r="RTD18" s="7"/>
      <c r="RTE18"/>
      <c r="RTF18"/>
      <c r="RTG18" s="10"/>
      <c r="RTH18" s="2"/>
      <c r="RTI18"/>
      <c r="RTJ18" s="5"/>
      <c r="RTK18" s="2"/>
      <c r="RTL18" s="7"/>
      <c r="RTM18"/>
      <c r="RTN18"/>
      <c r="RTO18" s="10"/>
      <c r="RTP18" s="2"/>
      <c r="RTQ18"/>
      <c r="RTR18" s="5"/>
      <c r="RTS18" s="2"/>
      <c r="RTT18" s="7"/>
      <c r="RTU18"/>
      <c r="RTV18"/>
      <c r="RTW18" s="10"/>
      <c r="RTX18" s="2"/>
      <c r="RTY18"/>
      <c r="RTZ18" s="5"/>
      <c r="RUA18" s="2"/>
      <c r="RUB18" s="7"/>
      <c r="RUC18"/>
      <c r="RUD18"/>
      <c r="RUE18" s="10"/>
      <c r="RUF18" s="2"/>
      <c r="RUG18"/>
      <c r="RUH18" s="5"/>
      <c r="RUI18" s="2"/>
      <c r="RUJ18" s="7"/>
      <c r="RUK18"/>
      <c r="RUL18"/>
      <c r="RUM18" s="10"/>
      <c r="RUN18" s="2"/>
      <c r="RUO18"/>
      <c r="RUP18" s="5"/>
      <c r="RUQ18" s="2"/>
      <c r="RUR18" s="7"/>
      <c r="RUS18"/>
      <c r="RUT18"/>
      <c r="RUU18" s="10"/>
      <c r="RUV18" s="2"/>
      <c r="RUW18"/>
      <c r="RUX18" s="5"/>
      <c r="RUY18" s="2"/>
      <c r="RUZ18" s="7"/>
      <c r="RVA18"/>
      <c r="RVB18"/>
      <c r="RVC18" s="10"/>
      <c r="RVD18" s="2"/>
      <c r="RVE18"/>
      <c r="RVF18" s="5"/>
      <c r="RVG18" s="2"/>
      <c r="RVH18" s="7"/>
      <c r="RVI18"/>
      <c r="RVJ18"/>
      <c r="RVK18" s="10"/>
      <c r="RVL18" s="2"/>
      <c r="RVM18"/>
      <c r="RVN18" s="5"/>
      <c r="RVO18" s="2"/>
      <c r="RVP18" s="7"/>
      <c r="RVQ18"/>
      <c r="RVR18"/>
      <c r="RVS18" s="10"/>
      <c r="RVT18" s="2"/>
      <c r="RVU18"/>
      <c r="RVV18" s="5"/>
      <c r="RVW18" s="2"/>
      <c r="RVX18" s="7"/>
      <c r="RVY18"/>
      <c r="RVZ18"/>
      <c r="RWA18" s="10"/>
      <c r="RWB18" s="2"/>
      <c r="RWC18"/>
      <c r="RWD18" s="5"/>
      <c r="RWE18" s="2"/>
      <c r="RWF18" s="7"/>
      <c r="RWG18"/>
      <c r="RWH18"/>
      <c r="RWI18" s="10"/>
      <c r="RWJ18" s="2"/>
      <c r="RWK18"/>
      <c r="RWL18" s="5"/>
      <c r="RWM18" s="2"/>
      <c r="RWN18" s="7"/>
      <c r="RWO18"/>
      <c r="RWP18"/>
      <c r="RWQ18" s="10"/>
      <c r="RWR18" s="2"/>
      <c r="RWS18"/>
      <c r="RWT18" s="5"/>
      <c r="RWU18" s="2"/>
      <c r="RWV18" s="7"/>
      <c r="RWW18"/>
      <c r="RWX18"/>
      <c r="RWY18" s="10"/>
      <c r="RWZ18" s="2"/>
      <c r="RXA18"/>
      <c r="RXB18" s="5"/>
      <c r="RXC18" s="2"/>
      <c r="RXD18" s="7"/>
      <c r="RXE18"/>
      <c r="RXF18"/>
      <c r="RXG18" s="10"/>
      <c r="RXH18" s="2"/>
      <c r="RXI18"/>
      <c r="RXJ18" s="5"/>
      <c r="RXK18" s="2"/>
      <c r="RXL18" s="7"/>
      <c r="RXM18"/>
      <c r="RXN18"/>
      <c r="RXO18" s="10"/>
      <c r="RXP18" s="2"/>
      <c r="RXQ18"/>
      <c r="RXR18" s="5"/>
      <c r="RXS18" s="2"/>
      <c r="RXT18" s="7"/>
      <c r="RXU18"/>
      <c r="RXV18"/>
      <c r="RXW18" s="10"/>
      <c r="RXX18" s="2"/>
      <c r="RXY18"/>
      <c r="RXZ18" s="5"/>
      <c r="RYA18" s="2"/>
      <c r="RYB18" s="7"/>
      <c r="RYC18"/>
      <c r="RYD18"/>
      <c r="RYE18" s="10"/>
      <c r="RYF18" s="2"/>
      <c r="RYG18"/>
      <c r="RYH18" s="5"/>
      <c r="RYI18" s="2"/>
      <c r="RYJ18" s="7"/>
      <c r="RYK18"/>
      <c r="RYL18"/>
      <c r="RYM18" s="10"/>
      <c r="RYN18" s="2"/>
      <c r="RYO18"/>
      <c r="RYP18" s="5"/>
      <c r="RYQ18" s="2"/>
      <c r="RYR18" s="7"/>
      <c r="RYS18"/>
      <c r="RYT18"/>
      <c r="RYU18" s="10"/>
      <c r="RYV18" s="2"/>
      <c r="RYW18"/>
      <c r="RYX18" s="5"/>
      <c r="RYY18" s="2"/>
      <c r="RYZ18" s="7"/>
      <c r="RZA18"/>
      <c r="RZB18"/>
      <c r="RZC18" s="10"/>
      <c r="RZD18" s="2"/>
      <c r="RZE18"/>
      <c r="RZF18" s="5"/>
      <c r="RZG18" s="2"/>
      <c r="RZH18" s="7"/>
      <c r="RZI18"/>
      <c r="RZJ18"/>
      <c r="RZK18" s="10"/>
      <c r="RZL18" s="2"/>
      <c r="RZM18"/>
      <c r="RZN18" s="5"/>
      <c r="RZO18" s="2"/>
      <c r="RZP18" s="7"/>
      <c r="RZQ18"/>
      <c r="RZR18"/>
      <c r="RZS18" s="10"/>
      <c r="RZT18" s="2"/>
      <c r="RZU18"/>
      <c r="RZV18" s="5"/>
      <c r="RZW18" s="2"/>
      <c r="RZX18" s="7"/>
      <c r="RZY18"/>
      <c r="RZZ18"/>
      <c r="SAA18" s="10"/>
      <c r="SAB18" s="2"/>
      <c r="SAC18"/>
      <c r="SAD18" s="5"/>
      <c r="SAE18" s="2"/>
      <c r="SAF18" s="7"/>
      <c r="SAG18"/>
      <c r="SAH18"/>
      <c r="SAI18" s="10"/>
      <c r="SAJ18" s="2"/>
      <c r="SAK18"/>
      <c r="SAL18" s="5"/>
      <c r="SAM18" s="2"/>
      <c r="SAN18" s="7"/>
      <c r="SAO18"/>
      <c r="SAP18"/>
      <c r="SAQ18" s="10"/>
      <c r="SAR18" s="2"/>
      <c r="SAS18"/>
      <c r="SAT18" s="5"/>
      <c r="SAU18" s="2"/>
      <c r="SAV18" s="7"/>
      <c r="SAW18"/>
      <c r="SAX18"/>
      <c r="SAY18" s="10"/>
      <c r="SAZ18" s="2"/>
      <c r="SBA18"/>
      <c r="SBB18" s="5"/>
      <c r="SBC18" s="2"/>
      <c r="SBD18" s="7"/>
      <c r="SBE18"/>
      <c r="SBF18"/>
      <c r="SBG18" s="10"/>
      <c r="SBH18" s="2"/>
      <c r="SBI18"/>
      <c r="SBJ18" s="5"/>
      <c r="SBK18" s="2"/>
      <c r="SBL18" s="7"/>
      <c r="SBM18"/>
      <c r="SBN18"/>
      <c r="SBO18" s="10"/>
      <c r="SBP18" s="2"/>
      <c r="SBQ18"/>
      <c r="SBR18" s="5"/>
      <c r="SBS18" s="2"/>
      <c r="SBT18" s="7"/>
      <c r="SBU18"/>
      <c r="SBV18"/>
      <c r="SBW18" s="10"/>
      <c r="SBX18" s="2"/>
      <c r="SBY18"/>
      <c r="SBZ18" s="5"/>
      <c r="SCA18" s="2"/>
      <c r="SCB18" s="7"/>
      <c r="SCC18"/>
      <c r="SCD18"/>
      <c r="SCE18" s="10"/>
      <c r="SCF18" s="2"/>
      <c r="SCG18"/>
      <c r="SCH18" s="5"/>
      <c r="SCI18" s="2"/>
      <c r="SCJ18" s="7"/>
      <c r="SCK18"/>
      <c r="SCL18"/>
      <c r="SCM18" s="10"/>
      <c r="SCN18" s="2"/>
      <c r="SCO18"/>
      <c r="SCP18" s="5"/>
      <c r="SCQ18" s="2"/>
      <c r="SCR18" s="7"/>
      <c r="SCS18"/>
      <c r="SCT18"/>
      <c r="SCU18" s="10"/>
      <c r="SCV18" s="2"/>
      <c r="SCW18"/>
      <c r="SCX18" s="5"/>
      <c r="SCY18" s="2"/>
      <c r="SCZ18" s="7"/>
      <c r="SDA18"/>
      <c r="SDB18"/>
      <c r="SDC18" s="10"/>
      <c r="SDD18" s="2"/>
      <c r="SDE18"/>
      <c r="SDF18" s="5"/>
      <c r="SDG18" s="2"/>
      <c r="SDH18" s="7"/>
      <c r="SDI18"/>
      <c r="SDJ18"/>
      <c r="SDK18" s="10"/>
      <c r="SDL18" s="2"/>
      <c r="SDM18"/>
      <c r="SDN18" s="5"/>
      <c r="SDO18" s="2"/>
      <c r="SDP18" s="7"/>
      <c r="SDQ18"/>
      <c r="SDR18"/>
      <c r="SDS18" s="10"/>
      <c r="SDT18" s="2"/>
      <c r="SDU18"/>
      <c r="SDV18" s="5"/>
      <c r="SDW18" s="2"/>
      <c r="SDX18" s="7"/>
      <c r="SDY18"/>
      <c r="SDZ18"/>
      <c r="SEA18" s="10"/>
      <c r="SEB18" s="2"/>
      <c r="SEC18"/>
      <c r="SED18" s="5"/>
      <c r="SEE18" s="2"/>
      <c r="SEF18" s="7"/>
      <c r="SEG18"/>
      <c r="SEH18"/>
      <c r="SEI18" s="10"/>
      <c r="SEJ18" s="2"/>
      <c r="SEK18"/>
      <c r="SEL18" s="5"/>
      <c r="SEM18" s="2"/>
      <c r="SEN18" s="7"/>
      <c r="SEO18"/>
      <c r="SEP18"/>
      <c r="SEQ18" s="10"/>
      <c r="SER18" s="2"/>
      <c r="SES18"/>
      <c r="SET18" s="5"/>
      <c r="SEU18" s="2"/>
      <c r="SEV18" s="7"/>
      <c r="SEW18"/>
      <c r="SEX18"/>
      <c r="SEY18" s="10"/>
      <c r="SEZ18" s="2"/>
      <c r="SFA18"/>
      <c r="SFB18" s="5"/>
      <c r="SFC18" s="2"/>
      <c r="SFD18" s="7"/>
      <c r="SFE18"/>
      <c r="SFF18"/>
      <c r="SFG18" s="10"/>
      <c r="SFH18" s="2"/>
      <c r="SFI18"/>
      <c r="SFJ18" s="5"/>
      <c r="SFK18" s="2"/>
      <c r="SFL18" s="7"/>
      <c r="SFM18"/>
      <c r="SFN18"/>
      <c r="SFO18" s="10"/>
      <c r="SFP18" s="2"/>
      <c r="SFQ18"/>
      <c r="SFR18" s="5"/>
      <c r="SFS18" s="2"/>
      <c r="SFT18" s="7"/>
      <c r="SFU18"/>
      <c r="SFV18"/>
      <c r="SFW18" s="10"/>
      <c r="SFX18" s="2"/>
      <c r="SFY18"/>
      <c r="SFZ18" s="5"/>
      <c r="SGA18" s="2"/>
      <c r="SGB18" s="7"/>
      <c r="SGC18"/>
      <c r="SGD18"/>
      <c r="SGE18" s="10"/>
      <c r="SGF18" s="2"/>
      <c r="SGG18"/>
      <c r="SGH18" s="5"/>
      <c r="SGI18" s="2"/>
      <c r="SGJ18" s="7"/>
      <c r="SGK18"/>
      <c r="SGL18"/>
      <c r="SGM18" s="10"/>
      <c r="SGN18" s="2"/>
      <c r="SGO18"/>
      <c r="SGP18" s="5"/>
      <c r="SGQ18" s="2"/>
      <c r="SGR18" s="7"/>
      <c r="SGS18"/>
      <c r="SGT18"/>
      <c r="SGU18" s="10"/>
      <c r="SGV18" s="2"/>
      <c r="SGW18"/>
      <c r="SGX18" s="5"/>
      <c r="SGY18" s="2"/>
      <c r="SGZ18" s="7"/>
      <c r="SHA18"/>
      <c r="SHB18"/>
      <c r="SHC18" s="10"/>
      <c r="SHD18" s="2"/>
      <c r="SHE18"/>
      <c r="SHF18" s="5"/>
      <c r="SHG18" s="2"/>
      <c r="SHH18" s="7"/>
      <c r="SHI18"/>
      <c r="SHJ18"/>
      <c r="SHK18" s="10"/>
      <c r="SHL18" s="2"/>
      <c r="SHM18"/>
      <c r="SHN18" s="5"/>
      <c r="SHO18" s="2"/>
      <c r="SHP18" s="7"/>
      <c r="SHQ18"/>
      <c r="SHR18"/>
      <c r="SHS18" s="10"/>
      <c r="SHT18" s="2"/>
      <c r="SHU18"/>
      <c r="SHV18" s="5"/>
      <c r="SHW18" s="2"/>
      <c r="SHX18" s="7"/>
      <c r="SHY18"/>
      <c r="SHZ18"/>
      <c r="SIA18" s="10"/>
      <c r="SIB18" s="2"/>
      <c r="SIC18"/>
      <c r="SID18" s="5"/>
      <c r="SIE18" s="2"/>
      <c r="SIF18" s="7"/>
      <c r="SIG18"/>
      <c r="SIH18"/>
      <c r="SII18" s="10"/>
      <c r="SIJ18" s="2"/>
      <c r="SIK18"/>
      <c r="SIL18" s="5"/>
      <c r="SIM18" s="2"/>
      <c r="SIN18" s="7"/>
      <c r="SIO18"/>
      <c r="SIP18"/>
      <c r="SIQ18" s="10"/>
      <c r="SIR18" s="2"/>
      <c r="SIS18"/>
      <c r="SIT18" s="5"/>
      <c r="SIU18" s="2"/>
      <c r="SIV18" s="7"/>
      <c r="SIW18"/>
      <c r="SIX18"/>
      <c r="SIY18" s="10"/>
      <c r="SIZ18" s="2"/>
      <c r="SJA18"/>
      <c r="SJB18" s="5"/>
      <c r="SJC18" s="2"/>
      <c r="SJD18" s="7"/>
      <c r="SJE18"/>
      <c r="SJF18"/>
      <c r="SJG18" s="10"/>
      <c r="SJH18" s="2"/>
      <c r="SJI18"/>
      <c r="SJJ18" s="5"/>
      <c r="SJK18" s="2"/>
      <c r="SJL18" s="7"/>
      <c r="SJM18"/>
      <c r="SJN18"/>
      <c r="SJO18" s="10"/>
      <c r="SJP18" s="2"/>
      <c r="SJQ18"/>
      <c r="SJR18" s="5"/>
      <c r="SJS18" s="2"/>
      <c r="SJT18" s="7"/>
      <c r="SJU18"/>
      <c r="SJV18"/>
      <c r="SJW18" s="10"/>
      <c r="SJX18" s="2"/>
      <c r="SJY18"/>
      <c r="SJZ18" s="5"/>
      <c r="SKA18" s="2"/>
      <c r="SKB18" s="7"/>
      <c r="SKC18"/>
      <c r="SKD18"/>
      <c r="SKE18" s="10"/>
      <c r="SKF18" s="2"/>
      <c r="SKG18"/>
      <c r="SKH18" s="5"/>
      <c r="SKI18" s="2"/>
      <c r="SKJ18" s="7"/>
      <c r="SKK18"/>
      <c r="SKL18"/>
      <c r="SKM18" s="10"/>
      <c r="SKN18" s="2"/>
      <c r="SKO18"/>
      <c r="SKP18" s="5"/>
      <c r="SKQ18" s="2"/>
      <c r="SKR18" s="7"/>
      <c r="SKS18"/>
      <c r="SKT18"/>
      <c r="SKU18" s="10"/>
      <c r="SKV18" s="2"/>
      <c r="SKW18"/>
      <c r="SKX18" s="5"/>
      <c r="SKY18" s="2"/>
      <c r="SKZ18" s="7"/>
      <c r="SLA18"/>
      <c r="SLB18"/>
      <c r="SLC18" s="10"/>
      <c r="SLD18" s="2"/>
      <c r="SLE18"/>
      <c r="SLF18" s="5"/>
      <c r="SLG18" s="2"/>
      <c r="SLH18" s="7"/>
      <c r="SLI18"/>
      <c r="SLJ18"/>
      <c r="SLK18" s="10"/>
      <c r="SLL18" s="2"/>
      <c r="SLM18"/>
      <c r="SLN18" s="5"/>
      <c r="SLO18" s="2"/>
      <c r="SLP18" s="7"/>
      <c r="SLQ18"/>
      <c r="SLR18"/>
      <c r="SLS18" s="10"/>
      <c r="SLT18" s="2"/>
      <c r="SLU18"/>
      <c r="SLV18" s="5"/>
      <c r="SLW18" s="2"/>
      <c r="SLX18" s="7"/>
      <c r="SLY18"/>
      <c r="SLZ18"/>
      <c r="SMA18" s="10"/>
      <c r="SMB18" s="2"/>
      <c r="SMC18"/>
      <c r="SMD18" s="5"/>
      <c r="SME18" s="2"/>
      <c r="SMF18" s="7"/>
      <c r="SMG18"/>
      <c r="SMH18"/>
      <c r="SMI18" s="10"/>
      <c r="SMJ18" s="2"/>
      <c r="SMK18"/>
      <c r="SML18" s="5"/>
      <c r="SMM18" s="2"/>
      <c r="SMN18" s="7"/>
      <c r="SMO18"/>
      <c r="SMP18"/>
      <c r="SMQ18" s="10"/>
      <c r="SMR18" s="2"/>
      <c r="SMS18"/>
      <c r="SMT18" s="5"/>
      <c r="SMU18" s="2"/>
      <c r="SMV18" s="7"/>
      <c r="SMW18"/>
      <c r="SMX18"/>
      <c r="SMY18" s="10"/>
      <c r="SMZ18" s="2"/>
      <c r="SNA18"/>
      <c r="SNB18" s="5"/>
      <c r="SNC18" s="2"/>
      <c r="SND18" s="7"/>
      <c r="SNE18"/>
      <c r="SNF18"/>
      <c r="SNG18" s="10"/>
      <c r="SNH18" s="2"/>
      <c r="SNI18"/>
      <c r="SNJ18" s="5"/>
      <c r="SNK18" s="2"/>
      <c r="SNL18" s="7"/>
      <c r="SNM18"/>
      <c r="SNN18"/>
      <c r="SNO18" s="10"/>
      <c r="SNP18" s="2"/>
      <c r="SNQ18"/>
      <c r="SNR18" s="5"/>
      <c r="SNS18" s="2"/>
      <c r="SNT18" s="7"/>
      <c r="SNU18"/>
      <c r="SNV18"/>
      <c r="SNW18" s="10"/>
      <c r="SNX18" s="2"/>
      <c r="SNY18"/>
      <c r="SNZ18" s="5"/>
      <c r="SOA18" s="2"/>
      <c r="SOB18" s="7"/>
      <c r="SOC18"/>
      <c r="SOD18"/>
      <c r="SOE18" s="10"/>
      <c r="SOF18" s="2"/>
      <c r="SOG18"/>
      <c r="SOH18" s="5"/>
      <c r="SOI18" s="2"/>
      <c r="SOJ18" s="7"/>
      <c r="SOK18"/>
      <c r="SOL18"/>
      <c r="SOM18" s="10"/>
      <c r="SON18" s="2"/>
      <c r="SOO18"/>
      <c r="SOP18" s="5"/>
      <c r="SOQ18" s="2"/>
      <c r="SOR18" s="7"/>
      <c r="SOS18"/>
      <c r="SOT18"/>
      <c r="SOU18" s="10"/>
      <c r="SOV18" s="2"/>
      <c r="SOW18"/>
      <c r="SOX18" s="5"/>
      <c r="SOY18" s="2"/>
      <c r="SOZ18" s="7"/>
      <c r="SPA18"/>
      <c r="SPB18"/>
      <c r="SPC18" s="10"/>
      <c r="SPD18" s="2"/>
      <c r="SPE18"/>
      <c r="SPF18" s="5"/>
      <c r="SPG18" s="2"/>
      <c r="SPH18" s="7"/>
      <c r="SPI18"/>
      <c r="SPJ18"/>
      <c r="SPK18" s="10"/>
      <c r="SPL18" s="2"/>
      <c r="SPM18"/>
      <c r="SPN18" s="5"/>
      <c r="SPO18" s="2"/>
      <c r="SPP18" s="7"/>
      <c r="SPQ18"/>
      <c r="SPR18"/>
      <c r="SPS18" s="10"/>
      <c r="SPT18" s="2"/>
      <c r="SPU18"/>
      <c r="SPV18" s="5"/>
      <c r="SPW18" s="2"/>
      <c r="SPX18" s="7"/>
      <c r="SPY18"/>
      <c r="SPZ18"/>
      <c r="SQA18" s="10"/>
      <c r="SQB18" s="2"/>
      <c r="SQC18"/>
      <c r="SQD18" s="5"/>
      <c r="SQE18" s="2"/>
      <c r="SQF18" s="7"/>
      <c r="SQG18"/>
      <c r="SQH18"/>
      <c r="SQI18" s="10"/>
      <c r="SQJ18" s="2"/>
      <c r="SQK18"/>
      <c r="SQL18" s="5"/>
      <c r="SQM18" s="2"/>
      <c r="SQN18" s="7"/>
      <c r="SQO18"/>
      <c r="SQP18"/>
      <c r="SQQ18" s="10"/>
      <c r="SQR18" s="2"/>
      <c r="SQS18"/>
      <c r="SQT18" s="5"/>
      <c r="SQU18" s="2"/>
      <c r="SQV18" s="7"/>
      <c r="SQW18"/>
      <c r="SQX18"/>
      <c r="SQY18" s="10"/>
      <c r="SQZ18" s="2"/>
      <c r="SRA18"/>
      <c r="SRB18" s="5"/>
      <c r="SRC18" s="2"/>
      <c r="SRD18" s="7"/>
      <c r="SRE18"/>
      <c r="SRF18"/>
      <c r="SRG18" s="10"/>
      <c r="SRH18" s="2"/>
      <c r="SRI18"/>
      <c r="SRJ18" s="5"/>
      <c r="SRK18" s="2"/>
      <c r="SRL18" s="7"/>
      <c r="SRM18"/>
      <c r="SRN18"/>
      <c r="SRO18" s="10"/>
      <c r="SRP18" s="2"/>
      <c r="SRQ18"/>
      <c r="SRR18" s="5"/>
      <c r="SRS18" s="2"/>
      <c r="SRT18" s="7"/>
      <c r="SRU18"/>
      <c r="SRV18"/>
      <c r="SRW18" s="10"/>
      <c r="SRX18" s="2"/>
      <c r="SRY18"/>
      <c r="SRZ18" s="5"/>
      <c r="SSA18" s="2"/>
      <c r="SSB18" s="7"/>
      <c r="SSC18"/>
      <c r="SSD18"/>
      <c r="SSE18" s="10"/>
      <c r="SSF18" s="2"/>
      <c r="SSG18"/>
      <c r="SSH18" s="5"/>
      <c r="SSI18" s="2"/>
      <c r="SSJ18" s="7"/>
      <c r="SSK18"/>
      <c r="SSL18"/>
      <c r="SSM18" s="10"/>
      <c r="SSN18" s="2"/>
      <c r="SSO18"/>
      <c r="SSP18" s="5"/>
      <c r="SSQ18" s="2"/>
      <c r="SSR18" s="7"/>
      <c r="SSS18"/>
      <c r="SST18"/>
      <c r="SSU18" s="10"/>
      <c r="SSV18" s="2"/>
      <c r="SSW18"/>
      <c r="SSX18" s="5"/>
      <c r="SSY18" s="2"/>
      <c r="SSZ18" s="7"/>
      <c r="STA18"/>
      <c r="STB18"/>
      <c r="STC18" s="10"/>
      <c r="STD18" s="2"/>
      <c r="STE18"/>
      <c r="STF18" s="5"/>
      <c r="STG18" s="2"/>
      <c r="STH18" s="7"/>
      <c r="STI18"/>
      <c r="STJ18"/>
      <c r="STK18" s="10"/>
      <c r="STL18" s="2"/>
      <c r="STM18"/>
      <c r="STN18" s="5"/>
      <c r="STO18" s="2"/>
      <c r="STP18" s="7"/>
      <c r="STQ18"/>
      <c r="STR18"/>
      <c r="STS18" s="10"/>
      <c r="STT18" s="2"/>
      <c r="STU18"/>
      <c r="STV18" s="5"/>
      <c r="STW18" s="2"/>
      <c r="STX18" s="7"/>
      <c r="STY18"/>
      <c r="STZ18"/>
      <c r="SUA18" s="10"/>
      <c r="SUB18" s="2"/>
      <c r="SUC18"/>
      <c r="SUD18" s="5"/>
      <c r="SUE18" s="2"/>
      <c r="SUF18" s="7"/>
      <c r="SUG18"/>
      <c r="SUH18"/>
      <c r="SUI18" s="10"/>
      <c r="SUJ18" s="2"/>
      <c r="SUK18"/>
      <c r="SUL18" s="5"/>
      <c r="SUM18" s="2"/>
      <c r="SUN18" s="7"/>
      <c r="SUO18"/>
      <c r="SUP18"/>
      <c r="SUQ18" s="10"/>
      <c r="SUR18" s="2"/>
      <c r="SUS18"/>
      <c r="SUT18" s="5"/>
      <c r="SUU18" s="2"/>
      <c r="SUV18" s="7"/>
      <c r="SUW18"/>
      <c r="SUX18"/>
      <c r="SUY18" s="10"/>
      <c r="SUZ18" s="2"/>
      <c r="SVA18"/>
      <c r="SVB18" s="5"/>
      <c r="SVC18" s="2"/>
      <c r="SVD18" s="7"/>
      <c r="SVE18"/>
      <c r="SVF18"/>
      <c r="SVG18" s="10"/>
      <c r="SVH18" s="2"/>
      <c r="SVI18"/>
      <c r="SVJ18" s="5"/>
      <c r="SVK18" s="2"/>
      <c r="SVL18" s="7"/>
      <c r="SVM18"/>
      <c r="SVN18"/>
      <c r="SVO18" s="10"/>
      <c r="SVP18" s="2"/>
      <c r="SVQ18"/>
      <c r="SVR18" s="5"/>
      <c r="SVS18" s="2"/>
      <c r="SVT18" s="7"/>
      <c r="SVU18"/>
      <c r="SVV18"/>
      <c r="SVW18" s="10"/>
      <c r="SVX18" s="2"/>
      <c r="SVY18"/>
      <c r="SVZ18" s="5"/>
      <c r="SWA18" s="2"/>
      <c r="SWB18" s="7"/>
      <c r="SWC18"/>
      <c r="SWD18"/>
      <c r="SWE18" s="10"/>
      <c r="SWF18" s="2"/>
      <c r="SWG18"/>
      <c r="SWH18" s="5"/>
      <c r="SWI18" s="2"/>
      <c r="SWJ18" s="7"/>
      <c r="SWK18"/>
      <c r="SWL18"/>
      <c r="SWM18" s="10"/>
      <c r="SWN18" s="2"/>
      <c r="SWO18"/>
      <c r="SWP18" s="5"/>
      <c r="SWQ18" s="2"/>
      <c r="SWR18" s="7"/>
      <c r="SWS18"/>
      <c r="SWT18"/>
      <c r="SWU18" s="10"/>
      <c r="SWV18" s="2"/>
      <c r="SWW18"/>
      <c r="SWX18" s="5"/>
      <c r="SWY18" s="2"/>
      <c r="SWZ18" s="7"/>
      <c r="SXA18"/>
      <c r="SXB18"/>
      <c r="SXC18" s="10"/>
      <c r="SXD18" s="2"/>
      <c r="SXE18"/>
      <c r="SXF18" s="5"/>
      <c r="SXG18" s="2"/>
      <c r="SXH18" s="7"/>
      <c r="SXI18"/>
      <c r="SXJ18"/>
      <c r="SXK18" s="10"/>
      <c r="SXL18" s="2"/>
      <c r="SXM18"/>
      <c r="SXN18" s="5"/>
      <c r="SXO18" s="2"/>
      <c r="SXP18" s="7"/>
      <c r="SXQ18"/>
      <c r="SXR18"/>
      <c r="SXS18" s="10"/>
      <c r="SXT18" s="2"/>
      <c r="SXU18"/>
      <c r="SXV18" s="5"/>
      <c r="SXW18" s="2"/>
      <c r="SXX18" s="7"/>
      <c r="SXY18"/>
      <c r="SXZ18"/>
      <c r="SYA18" s="10"/>
      <c r="SYB18" s="2"/>
      <c r="SYC18"/>
      <c r="SYD18" s="5"/>
      <c r="SYE18" s="2"/>
      <c r="SYF18" s="7"/>
      <c r="SYG18"/>
      <c r="SYH18"/>
      <c r="SYI18" s="10"/>
      <c r="SYJ18" s="2"/>
      <c r="SYK18"/>
      <c r="SYL18" s="5"/>
      <c r="SYM18" s="2"/>
      <c r="SYN18" s="7"/>
      <c r="SYO18"/>
      <c r="SYP18"/>
      <c r="SYQ18" s="10"/>
      <c r="SYR18" s="2"/>
      <c r="SYS18"/>
      <c r="SYT18" s="5"/>
      <c r="SYU18" s="2"/>
      <c r="SYV18" s="7"/>
      <c r="SYW18"/>
      <c r="SYX18"/>
      <c r="SYY18" s="10"/>
      <c r="SYZ18" s="2"/>
      <c r="SZA18"/>
      <c r="SZB18" s="5"/>
      <c r="SZC18" s="2"/>
      <c r="SZD18" s="7"/>
      <c r="SZE18"/>
      <c r="SZF18"/>
      <c r="SZG18" s="10"/>
      <c r="SZH18" s="2"/>
      <c r="SZI18"/>
      <c r="SZJ18" s="5"/>
      <c r="SZK18" s="2"/>
      <c r="SZL18" s="7"/>
      <c r="SZM18"/>
      <c r="SZN18"/>
      <c r="SZO18" s="10"/>
      <c r="SZP18" s="2"/>
      <c r="SZQ18"/>
      <c r="SZR18" s="5"/>
      <c r="SZS18" s="2"/>
      <c r="SZT18" s="7"/>
      <c r="SZU18"/>
      <c r="SZV18"/>
      <c r="SZW18" s="10"/>
      <c r="SZX18" s="2"/>
      <c r="SZY18"/>
      <c r="SZZ18" s="5"/>
      <c r="TAA18" s="2"/>
      <c r="TAB18" s="7"/>
      <c r="TAC18"/>
      <c r="TAD18"/>
      <c r="TAE18" s="10"/>
      <c r="TAF18" s="2"/>
      <c r="TAG18"/>
      <c r="TAH18" s="5"/>
      <c r="TAI18" s="2"/>
      <c r="TAJ18" s="7"/>
      <c r="TAK18"/>
      <c r="TAL18"/>
      <c r="TAM18" s="10"/>
      <c r="TAN18" s="2"/>
      <c r="TAO18"/>
      <c r="TAP18" s="5"/>
      <c r="TAQ18" s="2"/>
      <c r="TAR18" s="7"/>
      <c r="TAS18"/>
      <c r="TAT18"/>
      <c r="TAU18" s="10"/>
      <c r="TAV18" s="2"/>
      <c r="TAW18"/>
      <c r="TAX18" s="5"/>
      <c r="TAY18" s="2"/>
      <c r="TAZ18" s="7"/>
      <c r="TBA18"/>
      <c r="TBB18"/>
      <c r="TBC18" s="10"/>
      <c r="TBD18" s="2"/>
      <c r="TBE18"/>
      <c r="TBF18" s="5"/>
      <c r="TBG18" s="2"/>
      <c r="TBH18" s="7"/>
      <c r="TBI18"/>
      <c r="TBJ18"/>
      <c r="TBK18" s="10"/>
      <c r="TBL18" s="2"/>
      <c r="TBM18"/>
      <c r="TBN18" s="5"/>
      <c r="TBO18" s="2"/>
      <c r="TBP18" s="7"/>
      <c r="TBQ18"/>
      <c r="TBR18"/>
      <c r="TBS18" s="10"/>
      <c r="TBT18" s="2"/>
      <c r="TBU18"/>
      <c r="TBV18" s="5"/>
      <c r="TBW18" s="2"/>
      <c r="TBX18" s="7"/>
      <c r="TBY18"/>
      <c r="TBZ18"/>
      <c r="TCA18" s="10"/>
      <c r="TCB18" s="2"/>
      <c r="TCC18"/>
      <c r="TCD18" s="5"/>
      <c r="TCE18" s="2"/>
      <c r="TCF18" s="7"/>
      <c r="TCG18"/>
      <c r="TCH18"/>
      <c r="TCI18" s="10"/>
      <c r="TCJ18" s="2"/>
      <c r="TCK18"/>
      <c r="TCL18" s="5"/>
      <c r="TCM18" s="2"/>
      <c r="TCN18" s="7"/>
      <c r="TCO18"/>
      <c r="TCP18"/>
      <c r="TCQ18" s="10"/>
      <c r="TCR18" s="2"/>
      <c r="TCS18"/>
      <c r="TCT18" s="5"/>
      <c r="TCU18" s="2"/>
      <c r="TCV18" s="7"/>
      <c r="TCW18"/>
      <c r="TCX18"/>
      <c r="TCY18" s="10"/>
      <c r="TCZ18" s="2"/>
      <c r="TDA18"/>
      <c r="TDB18" s="5"/>
      <c r="TDC18" s="2"/>
      <c r="TDD18" s="7"/>
      <c r="TDE18"/>
      <c r="TDF18"/>
      <c r="TDG18" s="10"/>
      <c r="TDH18" s="2"/>
      <c r="TDI18"/>
      <c r="TDJ18" s="5"/>
      <c r="TDK18" s="2"/>
      <c r="TDL18" s="7"/>
      <c r="TDM18"/>
      <c r="TDN18"/>
      <c r="TDO18" s="10"/>
      <c r="TDP18" s="2"/>
      <c r="TDQ18"/>
      <c r="TDR18" s="5"/>
      <c r="TDS18" s="2"/>
      <c r="TDT18" s="7"/>
      <c r="TDU18"/>
      <c r="TDV18"/>
      <c r="TDW18" s="10"/>
      <c r="TDX18" s="2"/>
      <c r="TDY18"/>
      <c r="TDZ18" s="5"/>
      <c r="TEA18" s="2"/>
      <c r="TEB18" s="7"/>
      <c r="TEC18"/>
      <c r="TED18"/>
      <c r="TEE18" s="10"/>
      <c r="TEF18" s="2"/>
      <c r="TEG18"/>
      <c r="TEH18" s="5"/>
      <c r="TEI18" s="2"/>
      <c r="TEJ18" s="7"/>
      <c r="TEK18"/>
      <c r="TEL18"/>
      <c r="TEM18" s="10"/>
      <c r="TEN18" s="2"/>
      <c r="TEO18"/>
      <c r="TEP18" s="5"/>
      <c r="TEQ18" s="2"/>
      <c r="TER18" s="7"/>
      <c r="TES18"/>
      <c r="TET18"/>
      <c r="TEU18" s="10"/>
      <c r="TEV18" s="2"/>
      <c r="TEW18"/>
      <c r="TEX18" s="5"/>
      <c r="TEY18" s="2"/>
      <c r="TEZ18" s="7"/>
      <c r="TFA18"/>
      <c r="TFB18"/>
      <c r="TFC18" s="10"/>
      <c r="TFD18" s="2"/>
      <c r="TFE18"/>
      <c r="TFF18" s="5"/>
      <c r="TFG18" s="2"/>
      <c r="TFH18" s="7"/>
      <c r="TFI18"/>
      <c r="TFJ18"/>
      <c r="TFK18" s="10"/>
      <c r="TFL18" s="2"/>
      <c r="TFM18"/>
      <c r="TFN18" s="5"/>
      <c r="TFO18" s="2"/>
      <c r="TFP18" s="7"/>
      <c r="TFQ18"/>
      <c r="TFR18"/>
      <c r="TFS18" s="10"/>
      <c r="TFT18" s="2"/>
      <c r="TFU18"/>
      <c r="TFV18" s="5"/>
      <c r="TFW18" s="2"/>
      <c r="TFX18" s="7"/>
      <c r="TFY18"/>
      <c r="TFZ18"/>
      <c r="TGA18" s="10"/>
      <c r="TGB18" s="2"/>
      <c r="TGC18"/>
      <c r="TGD18" s="5"/>
      <c r="TGE18" s="2"/>
      <c r="TGF18" s="7"/>
      <c r="TGG18"/>
      <c r="TGH18"/>
      <c r="TGI18" s="10"/>
      <c r="TGJ18" s="2"/>
      <c r="TGK18"/>
      <c r="TGL18" s="5"/>
      <c r="TGM18" s="2"/>
      <c r="TGN18" s="7"/>
      <c r="TGO18"/>
      <c r="TGP18"/>
      <c r="TGQ18" s="10"/>
      <c r="TGR18" s="2"/>
      <c r="TGS18"/>
      <c r="TGT18" s="5"/>
      <c r="TGU18" s="2"/>
      <c r="TGV18" s="7"/>
      <c r="TGW18"/>
      <c r="TGX18"/>
      <c r="TGY18" s="10"/>
      <c r="TGZ18" s="2"/>
      <c r="THA18"/>
      <c r="THB18" s="5"/>
      <c r="THC18" s="2"/>
      <c r="THD18" s="7"/>
      <c r="THE18"/>
      <c r="THF18"/>
      <c r="THG18" s="10"/>
      <c r="THH18" s="2"/>
      <c r="THI18"/>
      <c r="THJ18" s="5"/>
      <c r="THK18" s="2"/>
      <c r="THL18" s="7"/>
      <c r="THM18"/>
      <c r="THN18"/>
      <c r="THO18" s="10"/>
      <c r="THP18" s="2"/>
      <c r="THQ18"/>
      <c r="THR18" s="5"/>
      <c r="THS18" s="2"/>
      <c r="THT18" s="7"/>
      <c r="THU18"/>
      <c r="THV18"/>
      <c r="THW18" s="10"/>
      <c r="THX18" s="2"/>
      <c r="THY18"/>
      <c r="THZ18" s="5"/>
      <c r="TIA18" s="2"/>
      <c r="TIB18" s="7"/>
      <c r="TIC18"/>
      <c r="TID18"/>
      <c r="TIE18" s="10"/>
      <c r="TIF18" s="2"/>
      <c r="TIG18"/>
      <c r="TIH18" s="5"/>
      <c r="TII18" s="2"/>
      <c r="TIJ18" s="7"/>
      <c r="TIK18"/>
      <c r="TIL18"/>
      <c r="TIM18" s="10"/>
      <c r="TIN18" s="2"/>
      <c r="TIO18"/>
      <c r="TIP18" s="5"/>
      <c r="TIQ18" s="2"/>
      <c r="TIR18" s="7"/>
      <c r="TIS18"/>
      <c r="TIT18"/>
      <c r="TIU18" s="10"/>
      <c r="TIV18" s="2"/>
      <c r="TIW18"/>
      <c r="TIX18" s="5"/>
      <c r="TIY18" s="2"/>
      <c r="TIZ18" s="7"/>
      <c r="TJA18"/>
      <c r="TJB18"/>
      <c r="TJC18" s="10"/>
      <c r="TJD18" s="2"/>
      <c r="TJE18"/>
      <c r="TJF18" s="5"/>
      <c r="TJG18" s="2"/>
      <c r="TJH18" s="7"/>
      <c r="TJI18"/>
      <c r="TJJ18"/>
      <c r="TJK18" s="10"/>
      <c r="TJL18" s="2"/>
      <c r="TJM18"/>
      <c r="TJN18" s="5"/>
      <c r="TJO18" s="2"/>
      <c r="TJP18" s="7"/>
      <c r="TJQ18"/>
      <c r="TJR18"/>
      <c r="TJS18" s="10"/>
      <c r="TJT18" s="2"/>
      <c r="TJU18"/>
      <c r="TJV18" s="5"/>
      <c r="TJW18" s="2"/>
      <c r="TJX18" s="7"/>
      <c r="TJY18"/>
      <c r="TJZ18"/>
      <c r="TKA18" s="10"/>
      <c r="TKB18" s="2"/>
      <c r="TKC18"/>
      <c r="TKD18" s="5"/>
      <c r="TKE18" s="2"/>
      <c r="TKF18" s="7"/>
      <c r="TKG18"/>
      <c r="TKH18"/>
      <c r="TKI18" s="10"/>
      <c r="TKJ18" s="2"/>
      <c r="TKK18"/>
      <c r="TKL18" s="5"/>
      <c r="TKM18" s="2"/>
      <c r="TKN18" s="7"/>
      <c r="TKO18"/>
      <c r="TKP18"/>
      <c r="TKQ18" s="10"/>
      <c r="TKR18" s="2"/>
      <c r="TKS18"/>
      <c r="TKT18" s="5"/>
      <c r="TKU18" s="2"/>
      <c r="TKV18" s="7"/>
      <c r="TKW18"/>
      <c r="TKX18"/>
      <c r="TKY18" s="10"/>
      <c r="TKZ18" s="2"/>
      <c r="TLA18"/>
      <c r="TLB18" s="5"/>
      <c r="TLC18" s="2"/>
      <c r="TLD18" s="7"/>
      <c r="TLE18"/>
      <c r="TLF18"/>
      <c r="TLG18" s="10"/>
      <c r="TLH18" s="2"/>
      <c r="TLI18"/>
      <c r="TLJ18" s="5"/>
      <c r="TLK18" s="2"/>
      <c r="TLL18" s="7"/>
      <c r="TLM18"/>
      <c r="TLN18"/>
      <c r="TLO18" s="10"/>
      <c r="TLP18" s="2"/>
      <c r="TLQ18"/>
      <c r="TLR18" s="5"/>
      <c r="TLS18" s="2"/>
      <c r="TLT18" s="7"/>
      <c r="TLU18"/>
      <c r="TLV18"/>
      <c r="TLW18" s="10"/>
      <c r="TLX18" s="2"/>
      <c r="TLY18"/>
      <c r="TLZ18" s="5"/>
      <c r="TMA18" s="2"/>
      <c r="TMB18" s="7"/>
      <c r="TMC18"/>
      <c r="TMD18"/>
      <c r="TME18" s="10"/>
      <c r="TMF18" s="2"/>
      <c r="TMG18"/>
      <c r="TMH18" s="5"/>
      <c r="TMI18" s="2"/>
      <c r="TMJ18" s="7"/>
      <c r="TMK18"/>
      <c r="TML18"/>
      <c r="TMM18" s="10"/>
      <c r="TMN18" s="2"/>
      <c r="TMO18"/>
      <c r="TMP18" s="5"/>
      <c r="TMQ18" s="2"/>
      <c r="TMR18" s="7"/>
      <c r="TMS18"/>
      <c r="TMT18"/>
      <c r="TMU18" s="10"/>
      <c r="TMV18" s="2"/>
      <c r="TMW18"/>
      <c r="TMX18" s="5"/>
      <c r="TMY18" s="2"/>
      <c r="TMZ18" s="7"/>
      <c r="TNA18"/>
      <c r="TNB18"/>
      <c r="TNC18" s="10"/>
      <c r="TND18" s="2"/>
      <c r="TNE18"/>
      <c r="TNF18" s="5"/>
      <c r="TNG18" s="2"/>
      <c r="TNH18" s="7"/>
      <c r="TNI18"/>
      <c r="TNJ18"/>
      <c r="TNK18" s="10"/>
      <c r="TNL18" s="2"/>
      <c r="TNM18"/>
      <c r="TNN18" s="5"/>
      <c r="TNO18" s="2"/>
      <c r="TNP18" s="7"/>
      <c r="TNQ18"/>
      <c r="TNR18"/>
      <c r="TNS18" s="10"/>
      <c r="TNT18" s="2"/>
      <c r="TNU18"/>
      <c r="TNV18" s="5"/>
      <c r="TNW18" s="2"/>
      <c r="TNX18" s="7"/>
      <c r="TNY18"/>
      <c r="TNZ18"/>
      <c r="TOA18" s="10"/>
      <c r="TOB18" s="2"/>
      <c r="TOC18"/>
      <c r="TOD18" s="5"/>
      <c r="TOE18" s="2"/>
      <c r="TOF18" s="7"/>
      <c r="TOG18"/>
      <c r="TOH18"/>
      <c r="TOI18" s="10"/>
      <c r="TOJ18" s="2"/>
      <c r="TOK18"/>
      <c r="TOL18" s="5"/>
      <c r="TOM18" s="2"/>
      <c r="TON18" s="7"/>
      <c r="TOO18"/>
      <c r="TOP18"/>
      <c r="TOQ18" s="10"/>
      <c r="TOR18" s="2"/>
      <c r="TOS18"/>
      <c r="TOT18" s="5"/>
      <c r="TOU18" s="2"/>
      <c r="TOV18" s="7"/>
      <c r="TOW18"/>
      <c r="TOX18"/>
      <c r="TOY18" s="10"/>
      <c r="TOZ18" s="2"/>
      <c r="TPA18"/>
      <c r="TPB18" s="5"/>
      <c r="TPC18" s="2"/>
      <c r="TPD18" s="7"/>
      <c r="TPE18"/>
      <c r="TPF18"/>
      <c r="TPG18" s="10"/>
      <c r="TPH18" s="2"/>
      <c r="TPI18"/>
      <c r="TPJ18" s="5"/>
      <c r="TPK18" s="2"/>
      <c r="TPL18" s="7"/>
      <c r="TPM18"/>
      <c r="TPN18"/>
      <c r="TPO18" s="10"/>
      <c r="TPP18" s="2"/>
      <c r="TPQ18"/>
      <c r="TPR18" s="5"/>
      <c r="TPS18" s="2"/>
      <c r="TPT18" s="7"/>
      <c r="TPU18"/>
      <c r="TPV18"/>
      <c r="TPW18" s="10"/>
      <c r="TPX18" s="2"/>
      <c r="TPY18"/>
      <c r="TPZ18" s="5"/>
      <c r="TQA18" s="2"/>
      <c r="TQB18" s="7"/>
      <c r="TQC18"/>
      <c r="TQD18"/>
      <c r="TQE18" s="10"/>
      <c r="TQF18" s="2"/>
      <c r="TQG18"/>
      <c r="TQH18" s="5"/>
      <c r="TQI18" s="2"/>
      <c r="TQJ18" s="7"/>
      <c r="TQK18"/>
      <c r="TQL18"/>
      <c r="TQM18" s="10"/>
      <c r="TQN18" s="2"/>
      <c r="TQO18"/>
      <c r="TQP18" s="5"/>
      <c r="TQQ18" s="2"/>
      <c r="TQR18" s="7"/>
      <c r="TQS18"/>
      <c r="TQT18"/>
      <c r="TQU18" s="10"/>
      <c r="TQV18" s="2"/>
      <c r="TQW18"/>
      <c r="TQX18" s="5"/>
      <c r="TQY18" s="2"/>
      <c r="TQZ18" s="7"/>
      <c r="TRA18"/>
      <c r="TRB18"/>
      <c r="TRC18" s="10"/>
      <c r="TRD18" s="2"/>
      <c r="TRE18"/>
      <c r="TRF18" s="5"/>
      <c r="TRG18" s="2"/>
      <c r="TRH18" s="7"/>
      <c r="TRI18"/>
      <c r="TRJ18"/>
      <c r="TRK18" s="10"/>
      <c r="TRL18" s="2"/>
      <c r="TRM18"/>
      <c r="TRN18" s="5"/>
      <c r="TRO18" s="2"/>
      <c r="TRP18" s="7"/>
      <c r="TRQ18"/>
      <c r="TRR18"/>
      <c r="TRS18" s="10"/>
      <c r="TRT18" s="2"/>
      <c r="TRU18"/>
      <c r="TRV18" s="5"/>
      <c r="TRW18" s="2"/>
      <c r="TRX18" s="7"/>
      <c r="TRY18"/>
      <c r="TRZ18"/>
      <c r="TSA18" s="10"/>
      <c r="TSB18" s="2"/>
      <c r="TSC18"/>
      <c r="TSD18" s="5"/>
      <c r="TSE18" s="2"/>
      <c r="TSF18" s="7"/>
      <c r="TSG18"/>
      <c r="TSH18"/>
      <c r="TSI18" s="10"/>
      <c r="TSJ18" s="2"/>
      <c r="TSK18"/>
      <c r="TSL18" s="5"/>
      <c r="TSM18" s="2"/>
      <c r="TSN18" s="7"/>
      <c r="TSO18"/>
      <c r="TSP18"/>
      <c r="TSQ18" s="10"/>
      <c r="TSR18" s="2"/>
      <c r="TSS18"/>
      <c r="TST18" s="5"/>
      <c r="TSU18" s="2"/>
      <c r="TSV18" s="7"/>
      <c r="TSW18"/>
      <c r="TSX18"/>
      <c r="TSY18" s="10"/>
      <c r="TSZ18" s="2"/>
      <c r="TTA18"/>
      <c r="TTB18" s="5"/>
      <c r="TTC18" s="2"/>
      <c r="TTD18" s="7"/>
      <c r="TTE18"/>
      <c r="TTF18"/>
      <c r="TTG18" s="10"/>
      <c r="TTH18" s="2"/>
      <c r="TTI18"/>
      <c r="TTJ18" s="5"/>
      <c r="TTK18" s="2"/>
      <c r="TTL18" s="7"/>
      <c r="TTM18"/>
      <c r="TTN18"/>
      <c r="TTO18" s="10"/>
      <c r="TTP18" s="2"/>
      <c r="TTQ18"/>
      <c r="TTR18" s="5"/>
      <c r="TTS18" s="2"/>
      <c r="TTT18" s="7"/>
      <c r="TTU18"/>
      <c r="TTV18"/>
      <c r="TTW18" s="10"/>
      <c r="TTX18" s="2"/>
      <c r="TTY18"/>
      <c r="TTZ18" s="5"/>
      <c r="TUA18" s="2"/>
      <c r="TUB18" s="7"/>
      <c r="TUC18"/>
      <c r="TUD18"/>
      <c r="TUE18" s="10"/>
      <c r="TUF18" s="2"/>
      <c r="TUG18"/>
      <c r="TUH18" s="5"/>
      <c r="TUI18" s="2"/>
      <c r="TUJ18" s="7"/>
      <c r="TUK18"/>
      <c r="TUL18"/>
      <c r="TUM18" s="10"/>
      <c r="TUN18" s="2"/>
      <c r="TUO18"/>
      <c r="TUP18" s="5"/>
      <c r="TUQ18" s="2"/>
      <c r="TUR18" s="7"/>
      <c r="TUS18"/>
      <c r="TUT18"/>
      <c r="TUU18" s="10"/>
      <c r="TUV18" s="2"/>
      <c r="TUW18"/>
      <c r="TUX18" s="5"/>
      <c r="TUY18" s="2"/>
      <c r="TUZ18" s="7"/>
      <c r="TVA18"/>
      <c r="TVB18"/>
      <c r="TVC18" s="10"/>
      <c r="TVD18" s="2"/>
      <c r="TVE18"/>
      <c r="TVF18" s="5"/>
      <c r="TVG18" s="2"/>
      <c r="TVH18" s="7"/>
      <c r="TVI18"/>
      <c r="TVJ18"/>
      <c r="TVK18" s="10"/>
      <c r="TVL18" s="2"/>
      <c r="TVM18"/>
      <c r="TVN18" s="5"/>
      <c r="TVO18" s="2"/>
      <c r="TVP18" s="7"/>
      <c r="TVQ18"/>
      <c r="TVR18"/>
      <c r="TVS18" s="10"/>
      <c r="TVT18" s="2"/>
      <c r="TVU18"/>
      <c r="TVV18" s="5"/>
      <c r="TVW18" s="2"/>
      <c r="TVX18" s="7"/>
      <c r="TVY18"/>
      <c r="TVZ18"/>
      <c r="TWA18" s="10"/>
      <c r="TWB18" s="2"/>
      <c r="TWC18"/>
      <c r="TWD18" s="5"/>
      <c r="TWE18" s="2"/>
      <c r="TWF18" s="7"/>
      <c r="TWG18"/>
      <c r="TWH18"/>
      <c r="TWI18" s="10"/>
      <c r="TWJ18" s="2"/>
      <c r="TWK18"/>
      <c r="TWL18" s="5"/>
      <c r="TWM18" s="2"/>
      <c r="TWN18" s="7"/>
      <c r="TWO18"/>
      <c r="TWP18"/>
      <c r="TWQ18" s="10"/>
      <c r="TWR18" s="2"/>
      <c r="TWS18"/>
      <c r="TWT18" s="5"/>
      <c r="TWU18" s="2"/>
      <c r="TWV18" s="7"/>
      <c r="TWW18"/>
      <c r="TWX18"/>
      <c r="TWY18" s="10"/>
      <c r="TWZ18" s="2"/>
      <c r="TXA18"/>
      <c r="TXB18" s="5"/>
      <c r="TXC18" s="2"/>
      <c r="TXD18" s="7"/>
      <c r="TXE18"/>
      <c r="TXF18"/>
      <c r="TXG18" s="10"/>
      <c r="TXH18" s="2"/>
      <c r="TXI18"/>
      <c r="TXJ18" s="5"/>
      <c r="TXK18" s="2"/>
      <c r="TXL18" s="7"/>
      <c r="TXM18"/>
      <c r="TXN18"/>
      <c r="TXO18" s="10"/>
      <c r="TXP18" s="2"/>
      <c r="TXQ18"/>
      <c r="TXR18" s="5"/>
      <c r="TXS18" s="2"/>
      <c r="TXT18" s="7"/>
      <c r="TXU18"/>
      <c r="TXV18"/>
      <c r="TXW18" s="10"/>
      <c r="TXX18" s="2"/>
      <c r="TXY18"/>
      <c r="TXZ18" s="5"/>
      <c r="TYA18" s="2"/>
      <c r="TYB18" s="7"/>
      <c r="TYC18"/>
      <c r="TYD18"/>
      <c r="TYE18" s="10"/>
      <c r="TYF18" s="2"/>
      <c r="TYG18"/>
      <c r="TYH18" s="5"/>
      <c r="TYI18" s="2"/>
      <c r="TYJ18" s="7"/>
      <c r="TYK18"/>
      <c r="TYL18"/>
      <c r="TYM18" s="10"/>
      <c r="TYN18" s="2"/>
      <c r="TYO18"/>
      <c r="TYP18" s="5"/>
      <c r="TYQ18" s="2"/>
      <c r="TYR18" s="7"/>
      <c r="TYS18"/>
      <c r="TYT18"/>
      <c r="TYU18" s="10"/>
      <c r="TYV18" s="2"/>
      <c r="TYW18"/>
      <c r="TYX18" s="5"/>
      <c r="TYY18" s="2"/>
      <c r="TYZ18" s="7"/>
      <c r="TZA18"/>
      <c r="TZB18"/>
      <c r="TZC18" s="10"/>
      <c r="TZD18" s="2"/>
      <c r="TZE18"/>
      <c r="TZF18" s="5"/>
      <c r="TZG18" s="2"/>
      <c r="TZH18" s="7"/>
      <c r="TZI18"/>
      <c r="TZJ18"/>
      <c r="TZK18" s="10"/>
      <c r="TZL18" s="2"/>
      <c r="TZM18"/>
      <c r="TZN18" s="5"/>
      <c r="TZO18" s="2"/>
      <c r="TZP18" s="7"/>
      <c r="TZQ18"/>
      <c r="TZR18"/>
      <c r="TZS18" s="10"/>
      <c r="TZT18" s="2"/>
      <c r="TZU18"/>
      <c r="TZV18" s="5"/>
      <c r="TZW18" s="2"/>
      <c r="TZX18" s="7"/>
      <c r="TZY18"/>
      <c r="TZZ18"/>
      <c r="UAA18" s="10"/>
      <c r="UAB18" s="2"/>
      <c r="UAC18"/>
      <c r="UAD18" s="5"/>
      <c r="UAE18" s="2"/>
      <c r="UAF18" s="7"/>
      <c r="UAG18"/>
      <c r="UAH18"/>
      <c r="UAI18" s="10"/>
      <c r="UAJ18" s="2"/>
      <c r="UAK18"/>
      <c r="UAL18" s="5"/>
      <c r="UAM18" s="2"/>
      <c r="UAN18" s="7"/>
      <c r="UAO18"/>
      <c r="UAP18"/>
      <c r="UAQ18" s="10"/>
      <c r="UAR18" s="2"/>
      <c r="UAS18"/>
      <c r="UAT18" s="5"/>
      <c r="UAU18" s="2"/>
      <c r="UAV18" s="7"/>
      <c r="UAW18"/>
      <c r="UAX18"/>
      <c r="UAY18" s="10"/>
      <c r="UAZ18" s="2"/>
      <c r="UBA18"/>
      <c r="UBB18" s="5"/>
      <c r="UBC18" s="2"/>
      <c r="UBD18" s="7"/>
      <c r="UBE18"/>
      <c r="UBF18"/>
      <c r="UBG18" s="10"/>
      <c r="UBH18" s="2"/>
      <c r="UBI18"/>
      <c r="UBJ18" s="5"/>
      <c r="UBK18" s="2"/>
      <c r="UBL18" s="7"/>
      <c r="UBM18"/>
      <c r="UBN18"/>
      <c r="UBO18" s="10"/>
      <c r="UBP18" s="2"/>
      <c r="UBQ18"/>
      <c r="UBR18" s="5"/>
      <c r="UBS18" s="2"/>
      <c r="UBT18" s="7"/>
      <c r="UBU18"/>
      <c r="UBV18"/>
      <c r="UBW18" s="10"/>
      <c r="UBX18" s="2"/>
      <c r="UBY18"/>
      <c r="UBZ18" s="5"/>
      <c r="UCA18" s="2"/>
      <c r="UCB18" s="7"/>
      <c r="UCC18"/>
      <c r="UCD18"/>
      <c r="UCE18" s="10"/>
      <c r="UCF18" s="2"/>
      <c r="UCG18"/>
      <c r="UCH18" s="5"/>
      <c r="UCI18" s="2"/>
      <c r="UCJ18" s="7"/>
      <c r="UCK18"/>
      <c r="UCL18"/>
      <c r="UCM18" s="10"/>
      <c r="UCN18" s="2"/>
      <c r="UCO18"/>
      <c r="UCP18" s="5"/>
      <c r="UCQ18" s="2"/>
      <c r="UCR18" s="7"/>
      <c r="UCS18"/>
      <c r="UCT18"/>
      <c r="UCU18" s="10"/>
      <c r="UCV18" s="2"/>
      <c r="UCW18"/>
      <c r="UCX18" s="5"/>
      <c r="UCY18" s="2"/>
      <c r="UCZ18" s="7"/>
      <c r="UDA18"/>
      <c r="UDB18"/>
      <c r="UDC18" s="10"/>
      <c r="UDD18" s="2"/>
      <c r="UDE18"/>
      <c r="UDF18" s="5"/>
      <c r="UDG18" s="2"/>
      <c r="UDH18" s="7"/>
      <c r="UDI18"/>
      <c r="UDJ18"/>
      <c r="UDK18" s="10"/>
      <c r="UDL18" s="2"/>
      <c r="UDM18"/>
      <c r="UDN18" s="5"/>
      <c r="UDO18" s="2"/>
      <c r="UDP18" s="7"/>
      <c r="UDQ18"/>
      <c r="UDR18"/>
      <c r="UDS18" s="10"/>
      <c r="UDT18" s="2"/>
      <c r="UDU18"/>
      <c r="UDV18" s="5"/>
      <c r="UDW18" s="2"/>
      <c r="UDX18" s="7"/>
      <c r="UDY18"/>
      <c r="UDZ18"/>
      <c r="UEA18" s="10"/>
      <c r="UEB18" s="2"/>
      <c r="UEC18"/>
      <c r="UED18" s="5"/>
      <c r="UEE18" s="2"/>
      <c r="UEF18" s="7"/>
      <c r="UEG18"/>
      <c r="UEH18"/>
      <c r="UEI18" s="10"/>
      <c r="UEJ18" s="2"/>
      <c r="UEK18"/>
      <c r="UEL18" s="5"/>
      <c r="UEM18" s="2"/>
      <c r="UEN18" s="7"/>
      <c r="UEO18"/>
      <c r="UEP18"/>
      <c r="UEQ18" s="10"/>
      <c r="UER18" s="2"/>
      <c r="UES18"/>
      <c r="UET18" s="5"/>
      <c r="UEU18" s="2"/>
      <c r="UEV18" s="7"/>
      <c r="UEW18"/>
      <c r="UEX18"/>
      <c r="UEY18" s="10"/>
      <c r="UEZ18" s="2"/>
      <c r="UFA18"/>
      <c r="UFB18" s="5"/>
      <c r="UFC18" s="2"/>
      <c r="UFD18" s="7"/>
      <c r="UFE18"/>
      <c r="UFF18"/>
      <c r="UFG18" s="10"/>
      <c r="UFH18" s="2"/>
      <c r="UFI18"/>
      <c r="UFJ18" s="5"/>
      <c r="UFK18" s="2"/>
      <c r="UFL18" s="7"/>
      <c r="UFM18"/>
      <c r="UFN18"/>
      <c r="UFO18" s="10"/>
      <c r="UFP18" s="2"/>
      <c r="UFQ18"/>
      <c r="UFR18" s="5"/>
      <c r="UFS18" s="2"/>
      <c r="UFT18" s="7"/>
      <c r="UFU18"/>
      <c r="UFV18"/>
      <c r="UFW18" s="10"/>
      <c r="UFX18" s="2"/>
      <c r="UFY18"/>
      <c r="UFZ18" s="5"/>
      <c r="UGA18" s="2"/>
      <c r="UGB18" s="7"/>
      <c r="UGC18"/>
      <c r="UGD18"/>
      <c r="UGE18" s="10"/>
      <c r="UGF18" s="2"/>
      <c r="UGG18"/>
      <c r="UGH18" s="5"/>
      <c r="UGI18" s="2"/>
      <c r="UGJ18" s="7"/>
      <c r="UGK18"/>
      <c r="UGL18"/>
      <c r="UGM18" s="10"/>
      <c r="UGN18" s="2"/>
      <c r="UGO18"/>
      <c r="UGP18" s="5"/>
      <c r="UGQ18" s="2"/>
      <c r="UGR18" s="7"/>
      <c r="UGS18"/>
      <c r="UGT18"/>
      <c r="UGU18" s="10"/>
      <c r="UGV18" s="2"/>
      <c r="UGW18"/>
      <c r="UGX18" s="5"/>
      <c r="UGY18" s="2"/>
      <c r="UGZ18" s="7"/>
      <c r="UHA18"/>
      <c r="UHB18"/>
      <c r="UHC18" s="10"/>
      <c r="UHD18" s="2"/>
      <c r="UHE18"/>
      <c r="UHF18" s="5"/>
      <c r="UHG18" s="2"/>
      <c r="UHH18" s="7"/>
      <c r="UHI18"/>
      <c r="UHJ18"/>
      <c r="UHK18" s="10"/>
      <c r="UHL18" s="2"/>
      <c r="UHM18"/>
      <c r="UHN18" s="5"/>
      <c r="UHO18" s="2"/>
      <c r="UHP18" s="7"/>
      <c r="UHQ18"/>
      <c r="UHR18"/>
      <c r="UHS18" s="10"/>
      <c r="UHT18" s="2"/>
      <c r="UHU18"/>
      <c r="UHV18" s="5"/>
      <c r="UHW18" s="2"/>
      <c r="UHX18" s="7"/>
      <c r="UHY18"/>
      <c r="UHZ18"/>
      <c r="UIA18" s="10"/>
      <c r="UIB18" s="2"/>
      <c r="UIC18"/>
      <c r="UID18" s="5"/>
      <c r="UIE18" s="2"/>
      <c r="UIF18" s="7"/>
      <c r="UIG18"/>
      <c r="UIH18"/>
      <c r="UII18" s="10"/>
      <c r="UIJ18" s="2"/>
      <c r="UIK18"/>
      <c r="UIL18" s="5"/>
      <c r="UIM18" s="2"/>
      <c r="UIN18" s="7"/>
      <c r="UIO18"/>
      <c r="UIP18"/>
      <c r="UIQ18" s="10"/>
      <c r="UIR18" s="2"/>
      <c r="UIS18"/>
      <c r="UIT18" s="5"/>
      <c r="UIU18" s="2"/>
      <c r="UIV18" s="7"/>
      <c r="UIW18"/>
      <c r="UIX18"/>
      <c r="UIY18" s="10"/>
      <c r="UIZ18" s="2"/>
      <c r="UJA18"/>
      <c r="UJB18" s="5"/>
      <c r="UJC18" s="2"/>
      <c r="UJD18" s="7"/>
      <c r="UJE18"/>
      <c r="UJF18"/>
      <c r="UJG18" s="10"/>
      <c r="UJH18" s="2"/>
      <c r="UJI18"/>
      <c r="UJJ18" s="5"/>
      <c r="UJK18" s="2"/>
      <c r="UJL18" s="7"/>
      <c r="UJM18"/>
      <c r="UJN18"/>
      <c r="UJO18" s="10"/>
      <c r="UJP18" s="2"/>
      <c r="UJQ18"/>
      <c r="UJR18" s="5"/>
      <c r="UJS18" s="2"/>
      <c r="UJT18" s="7"/>
      <c r="UJU18"/>
      <c r="UJV18"/>
      <c r="UJW18" s="10"/>
      <c r="UJX18" s="2"/>
      <c r="UJY18"/>
      <c r="UJZ18" s="5"/>
      <c r="UKA18" s="2"/>
      <c r="UKB18" s="7"/>
      <c r="UKC18"/>
      <c r="UKD18"/>
      <c r="UKE18" s="10"/>
      <c r="UKF18" s="2"/>
      <c r="UKG18"/>
      <c r="UKH18" s="5"/>
      <c r="UKI18" s="2"/>
      <c r="UKJ18" s="7"/>
      <c r="UKK18"/>
      <c r="UKL18"/>
      <c r="UKM18" s="10"/>
      <c r="UKN18" s="2"/>
      <c r="UKO18"/>
      <c r="UKP18" s="5"/>
      <c r="UKQ18" s="2"/>
      <c r="UKR18" s="7"/>
      <c r="UKS18"/>
      <c r="UKT18"/>
      <c r="UKU18" s="10"/>
      <c r="UKV18" s="2"/>
      <c r="UKW18"/>
      <c r="UKX18" s="5"/>
      <c r="UKY18" s="2"/>
      <c r="UKZ18" s="7"/>
      <c r="ULA18"/>
      <c r="ULB18"/>
      <c r="ULC18" s="10"/>
      <c r="ULD18" s="2"/>
      <c r="ULE18"/>
      <c r="ULF18" s="5"/>
      <c r="ULG18" s="2"/>
      <c r="ULH18" s="7"/>
      <c r="ULI18"/>
      <c r="ULJ18"/>
      <c r="ULK18" s="10"/>
      <c r="ULL18" s="2"/>
      <c r="ULM18"/>
      <c r="ULN18" s="5"/>
      <c r="ULO18" s="2"/>
      <c r="ULP18" s="7"/>
      <c r="ULQ18"/>
      <c r="ULR18"/>
      <c r="ULS18" s="10"/>
      <c r="ULT18" s="2"/>
      <c r="ULU18"/>
      <c r="ULV18" s="5"/>
      <c r="ULW18" s="2"/>
      <c r="ULX18" s="7"/>
      <c r="ULY18"/>
      <c r="ULZ18"/>
      <c r="UMA18" s="10"/>
      <c r="UMB18" s="2"/>
      <c r="UMC18"/>
      <c r="UMD18" s="5"/>
      <c r="UME18" s="2"/>
      <c r="UMF18" s="7"/>
      <c r="UMG18"/>
      <c r="UMH18"/>
      <c r="UMI18" s="10"/>
      <c r="UMJ18" s="2"/>
      <c r="UMK18"/>
      <c r="UML18" s="5"/>
      <c r="UMM18" s="2"/>
      <c r="UMN18" s="7"/>
      <c r="UMO18"/>
      <c r="UMP18"/>
      <c r="UMQ18" s="10"/>
      <c r="UMR18" s="2"/>
      <c r="UMS18"/>
      <c r="UMT18" s="5"/>
      <c r="UMU18" s="2"/>
      <c r="UMV18" s="7"/>
      <c r="UMW18"/>
      <c r="UMX18"/>
      <c r="UMY18" s="10"/>
      <c r="UMZ18" s="2"/>
      <c r="UNA18"/>
      <c r="UNB18" s="5"/>
      <c r="UNC18" s="2"/>
      <c r="UND18" s="7"/>
      <c r="UNE18"/>
      <c r="UNF18"/>
      <c r="UNG18" s="10"/>
      <c r="UNH18" s="2"/>
      <c r="UNI18"/>
      <c r="UNJ18" s="5"/>
      <c r="UNK18" s="2"/>
      <c r="UNL18" s="7"/>
      <c r="UNM18"/>
      <c r="UNN18"/>
      <c r="UNO18" s="10"/>
      <c r="UNP18" s="2"/>
      <c r="UNQ18"/>
      <c r="UNR18" s="5"/>
      <c r="UNS18" s="2"/>
      <c r="UNT18" s="7"/>
      <c r="UNU18"/>
      <c r="UNV18"/>
      <c r="UNW18" s="10"/>
      <c r="UNX18" s="2"/>
      <c r="UNY18"/>
      <c r="UNZ18" s="5"/>
      <c r="UOA18" s="2"/>
      <c r="UOB18" s="7"/>
      <c r="UOC18"/>
      <c r="UOD18"/>
      <c r="UOE18" s="10"/>
      <c r="UOF18" s="2"/>
      <c r="UOG18"/>
      <c r="UOH18" s="5"/>
      <c r="UOI18" s="2"/>
      <c r="UOJ18" s="7"/>
      <c r="UOK18"/>
      <c r="UOL18"/>
      <c r="UOM18" s="10"/>
      <c r="UON18" s="2"/>
      <c r="UOO18"/>
      <c r="UOP18" s="5"/>
      <c r="UOQ18" s="2"/>
      <c r="UOR18" s="7"/>
      <c r="UOS18"/>
      <c r="UOT18"/>
      <c r="UOU18" s="10"/>
      <c r="UOV18" s="2"/>
      <c r="UOW18"/>
      <c r="UOX18" s="5"/>
      <c r="UOY18" s="2"/>
      <c r="UOZ18" s="7"/>
      <c r="UPA18"/>
      <c r="UPB18"/>
      <c r="UPC18" s="10"/>
      <c r="UPD18" s="2"/>
      <c r="UPE18"/>
      <c r="UPF18" s="5"/>
      <c r="UPG18" s="2"/>
      <c r="UPH18" s="7"/>
      <c r="UPI18"/>
      <c r="UPJ18"/>
      <c r="UPK18" s="10"/>
      <c r="UPL18" s="2"/>
      <c r="UPM18"/>
      <c r="UPN18" s="5"/>
      <c r="UPO18" s="2"/>
      <c r="UPP18" s="7"/>
      <c r="UPQ18"/>
      <c r="UPR18"/>
      <c r="UPS18" s="10"/>
      <c r="UPT18" s="2"/>
      <c r="UPU18"/>
      <c r="UPV18" s="5"/>
      <c r="UPW18" s="2"/>
      <c r="UPX18" s="7"/>
      <c r="UPY18"/>
      <c r="UPZ18"/>
      <c r="UQA18" s="10"/>
      <c r="UQB18" s="2"/>
      <c r="UQC18"/>
      <c r="UQD18" s="5"/>
      <c r="UQE18" s="2"/>
      <c r="UQF18" s="7"/>
      <c r="UQG18"/>
      <c r="UQH18"/>
      <c r="UQI18" s="10"/>
      <c r="UQJ18" s="2"/>
      <c r="UQK18"/>
      <c r="UQL18" s="5"/>
      <c r="UQM18" s="2"/>
      <c r="UQN18" s="7"/>
      <c r="UQO18"/>
      <c r="UQP18"/>
      <c r="UQQ18" s="10"/>
      <c r="UQR18" s="2"/>
      <c r="UQS18"/>
      <c r="UQT18" s="5"/>
      <c r="UQU18" s="2"/>
      <c r="UQV18" s="7"/>
      <c r="UQW18"/>
      <c r="UQX18"/>
      <c r="UQY18" s="10"/>
      <c r="UQZ18" s="2"/>
      <c r="URA18"/>
      <c r="URB18" s="5"/>
      <c r="URC18" s="2"/>
      <c r="URD18" s="7"/>
      <c r="URE18"/>
      <c r="URF18"/>
      <c r="URG18" s="10"/>
      <c r="URH18" s="2"/>
      <c r="URI18"/>
      <c r="URJ18" s="5"/>
      <c r="URK18" s="2"/>
      <c r="URL18" s="7"/>
      <c r="URM18"/>
      <c r="URN18"/>
      <c r="URO18" s="10"/>
      <c r="URP18" s="2"/>
      <c r="URQ18"/>
      <c r="URR18" s="5"/>
      <c r="URS18" s="2"/>
      <c r="URT18" s="7"/>
      <c r="URU18"/>
      <c r="URV18"/>
      <c r="URW18" s="10"/>
      <c r="URX18" s="2"/>
      <c r="URY18"/>
      <c r="URZ18" s="5"/>
      <c r="USA18" s="2"/>
      <c r="USB18" s="7"/>
      <c r="USC18"/>
      <c r="USD18"/>
      <c r="USE18" s="10"/>
      <c r="USF18" s="2"/>
      <c r="USG18"/>
      <c r="USH18" s="5"/>
      <c r="USI18" s="2"/>
      <c r="USJ18" s="7"/>
      <c r="USK18"/>
      <c r="USL18"/>
      <c r="USM18" s="10"/>
      <c r="USN18" s="2"/>
      <c r="USO18"/>
      <c r="USP18" s="5"/>
      <c r="USQ18" s="2"/>
      <c r="USR18" s="7"/>
      <c r="USS18"/>
      <c r="UST18"/>
      <c r="USU18" s="10"/>
      <c r="USV18" s="2"/>
      <c r="USW18"/>
      <c r="USX18" s="5"/>
      <c r="USY18" s="2"/>
      <c r="USZ18" s="7"/>
      <c r="UTA18"/>
      <c r="UTB18"/>
      <c r="UTC18" s="10"/>
      <c r="UTD18" s="2"/>
      <c r="UTE18"/>
      <c r="UTF18" s="5"/>
      <c r="UTG18" s="2"/>
      <c r="UTH18" s="7"/>
      <c r="UTI18"/>
      <c r="UTJ18"/>
      <c r="UTK18" s="10"/>
      <c r="UTL18" s="2"/>
      <c r="UTM18"/>
      <c r="UTN18" s="5"/>
      <c r="UTO18" s="2"/>
      <c r="UTP18" s="7"/>
      <c r="UTQ18"/>
      <c r="UTR18"/>
      <c r="UTS18" s="10"/>
      <c r="UTT18" s="2"/>
      <c r="UTU18"/>
      <c r="UTV18" s="5"/>
      <c r="UTW18" s="2"/>
      <c r="UTX18" s="7"/>
      <c r="UTY18"/>
      <c r="UTZ18"/>
      <c r="UUA18" s="10"/>
      <c r="UUB18" s="2"/>
      <c r="UUC18"/>
      <c r="UUD18" s="5"/>
      <c r="UUE18" s="2"/>
      <c r="UUF18" s="7"/>
      <c r="UUG18"/>
      <c r="UUH18"/>
      <c r="UUI18" s="10"/>
      <c r="UUJ18" s="2"/>
      <c r="UUK18"/>
      <c r="UUL18" s="5"/>
      <c r="UUM18" s="2"/>
      <c r="UUN18" s="7"/>
      <c r="UUO18"/>
      <c r="UUP18"/>
      <c r="UUQ18" s="10"/>
      <c r="UUR18" s="2"/>
      <c r="UUS18"/>
      <c r="UUT18" s="5"/>
      <c r="UUU18" s="2"/>
      <c r="UUV18" s="7"/>
      <c r="UUW18"/>
      <c r="UUX18"/>
      <c r="UUY18" s="10"/>
      <c r="UUZ18" s="2"/>
      <c r="UVA18"/>
      <c r="UVB18" s="5"/>
      <c r="UVC18" s="2"/>
      <c r="UVD18" s="7"/>
      <c r="UVE18"/>
      <c r="UVF18"/>
      <c r="UVG18" s="10"/>
      <c r="UVH18" s="2"/>
      <c r="UVI18"/>
      <c r="UVJ18" s="5"/>
      <c r="UVK18" s="2"/>
      <c r="UVL18" s="7"/>
      <c r="UVM18"/>
      <c r="UVN18"/>
      <c r="UVO18" s="10"/>
      <c r="UVP18" s="2"/>
      <c r="UVQ18"/>
      <c r="UVR18" s="5"/>
      <c r="UVS18" s="2"/>
      <c r="UVT18" s="7"/>
      <c r="UVU18"/>
      <c r="UVV18"/>
      <c r="UVW18" s="10"/>
      <c r="UVX18" s="2"/>
      <c r="UVY18"/>
      <c r="UVZ18" s="5"/>
      <c r="UWA18" s="2"/>
      <c r="UWB18" s="7"/>
      <c r="UWC18"/>
      <c r="UWD18"/>
      <c r="UWE18" s="10"/>
      <c r="UWF18" s="2"/>
      <c r="UWG18"/>
      <c r="UWH18" s="5"/>
      <c r="UWI18" s="2"/>
      <c r="UWJ18" s="7"/>
      <c r="UWK18"/>
      <c r="UWL18"/>
      <c r="UWM18" s="10"/>
      <c r="UWN18" s="2"/>
      <c r="UWO18"/>
      <c r="UWP18" s="5"/>
      <c r="UWQ18" s="2"/>
      <c r="UWR18" s="7"/>
      <c r="UWS18"/>
      <c r="UWT18"/>
      <c r="UWU18" s="10"/>
      <c r="UWV18" s="2"/>
      <c r="UWW18"/>
      <c r="UWX18" s="5"/>
      <c r="UWY18" s="2"/>
      <c r="UWZ18" s="7"/>
      <c r="UXA18"/>
      <c r="UXB18"/>
      <c r="UXC18" s="10"/>
      <c r="UXD18" s="2"/>
      <c r="UXE18"/>
      <c r="UXF18" s="5"/>
      <c r="UXG18" s="2"/>
      <c r="UXH18" s="7"/>
      <c r="UXI18"/>
      <c r="UXJ18"/>
      <c r="UXK18" s="10"/>
      <c r="UXL18" s="2"/>
      <c r="UXM18"/>
      <c r="UXN18" s="5"/>
      <c r="UXO18" s="2"/>
      <c r="UXP18" s="7"/>
      <c r="UXQ18"/>
      <c r="UXR18"/>
      <c r="UXS18" s="10"/>
      <c r="UXT18" s="2"/>
      <c r="UXU18"/>
      <c r="UXV18" s="5"/>
      <c r="UXW18" s="2"/>
      <c r="UXX18" s="7"/>
      <c r="UXY18"/>
      <c r="UXZ18"/>
      <c r="UYA18" s="10"/>
      <c r="UYB18" s="2"/>
      <c r="UYC18"/>
      <c r="UYD18" s="5"/>
      <c r="UYE18" s="2"/>
      <c r="UYF18" s="7"/>
      <c r="UYG18"/>
      <c r="UYH18"/>
      <c r="UYI18" s="10"/>
      <c r="UYJ18" s="2"/>
      <c r="UYK18"/>
      <c r="UYL18" s="5"/>
      <c r="UYM18" s="2"/>
      <c r="UYN18" s="7"/>
      <c r="UYO18"/>
      <c r="UYP18"/>
      <c r="UYQ18" s="10"/>
      <c r="UYR18" s="2"/>
      <c r="UYS18"/>
      <c r="UYT18" s="5"/>
      <c r="UYU18" s="2"/>
      <c r="UYV18" s="7"/>
      <c r="UYW18"/>
      <c r="UYX18"/>
      <c r="UYY18" s="10"/>
      <c r="UYZ18" s="2"/>
      <c r="UZA18"/>
      <c r="UZB18" s="5"/>
      <c r="UZC18" s="2"/>
      <c r="UZD18" s="7"/>
      <c r="UZE18"/>
      <c r="UZF18"/>
      <c r="UZG18" s="10"/>
      <c r="UZH18" s="2"/>
      <c r="UZI18"/>
      <c r="UZJ18" s="5"/>
      <c r="UZK18" s="2"/>
      <c r="UZL18" s="7"/>
      <c r="UZM18"/>
      <c r="UZN18"/>
      <c r="UZO18" s="10"/>
      <c r="UZP18" s="2"/>
      <c r="UZQ18"/>
      <c r="UZR18" s="5"/>
      <c r="UZS18" s="2"/>
      <c r="UZT18" s="7"/>
      <c r="UZU18"/>
      <c r="UZV18"/>
      <c r="UZW18" s="10"/>
      <c r="UZX18" s="2"/>
      <c r="UZY18"/>
      <c r="UZZ18" s="5"/>
      <c r="VAA18" s="2"/>
      <c r="VAB18" s="7"/>
      <c r="VAC18"/>
      <c r="VAD18"/>
      <c r="VAE18" s="10"/>
      <c r="VAF18" s="2"/>
      <c r="VAG18"/>
      <c r="VAH18" s="5"/>
      <c r="VAI18" s="2"/>
      <c r="VAJ18" s="7"/>
      <c r="VAK18"/>
      <c r="VAL18"/>
      <c r="VAM18" s="10"/>
      <c r="VAN18" s="2"/>
      <c r="VAO18"/>
      <c r="VAP18" s="5"/>
      <c r="VAQ18" s="2"/>
      <c r="VAR18" s="7"/>
      <c r="VAS18"/>
      <c r="VAT18"/>
      <c r="VAU18" s="10"/>
      <c r="VAV18" s="2"/>
      <c r="VAW18"/>
      <c r="VAX18" s="5"/>
      <c r="VAY18" s="2"/>
      <c r="VAZ18" s="7"/>
      <c r="VBA18"/>
      <c r="VBB18"/>
      <c r="VBC18" s="10"/>
      <c r="VBD18" s="2"/>
      <c r="VBE18"/>
      <c r="VBF18" s="5"/>
      <c r="VBG18" s="2"/>
      <c r="VBH18" s="7"/>
      <c r="VBI18"/>
      <c r="VBJ18"/>
      <c r="VBK18" s="10"/>
      <c r="VBL18" s="2"/>
      <c r="VBM18"/>
      <c r="VBN18" s="5"/>
      <c r="VBO18" s="2"/>
      <c r="VBP18" s="7"/>
      <c r="VBQ18"/>
      <c r="VBR18"/>
      <c r="VBS18" s="10"/>
      <c r="VBT18" s="2"/>
      <c r="VBU18"/>
      <c r="VBV18" s="5"/>
      <c r="VBW18" s="2"/>
      <c r="VBX18" s="7"/>
      <c r="VBY18"/>
      <c r="VBZ18"/>
      <c r="VCA18" s="10"/>
      <c r="VCB18" s="2"/>
      <c r="VCC18"/>
      <c r="VCD18" s="5"/>
      <c r="VCE18" s="2"/>
      <c r="VCF18" s="7"/>
      <c r="VCG18"/>
      <c r="VCH18"/>
      <c r="VCI18" s="10"/>
      <c r="VCJ18" s="2"/>
      <c r="VCK18"/>
      <c r="VCL18" s="5"/>
      <c r="VCM18" s="2"/>
      <c r="VCN18" s="7"/>
      <c r="VCO18"/>
      <c r="VCP18"/>
      <c r="VCQ18" s="10"/>
      <c r="VCR18" s="2"/>
      <c r="VCS18"/>
      <c r="VCT18" s="5"/>
      <c r="VCU18" s="2"/>
      <c r="VCV18" s="7"/>
      <c r="VCW18"/>
      <c r="VCX18"/>
      <c r="VCY18" s="10"/>
      <c r="VCZ18" s="2"/>
      <c r="VDA18"/>
      <c r="VDB18" s="5"/>
      <c r="VDC18" s="2"/>
      <c r="VDD18" s="7"/>
      <c r="VDE18"/>
      <c r="VDF18"/>
      <c r="VDG18" s="10"/>
      <c r="VDH18" s="2"/>
      <c r="VDI18"/>
      <c r="VDJ18" s="5"/>
      <c r="VDK18" s="2"/>
      <c r="VDL18" s="7"/>
      <c r="VDM18"/>
      <c r="VDN18"/>
      <c r="VDO18" s="10"/>
      <c r="VDP18" s="2"/>
      <c r="VDQ18"/>
      <c r="VDR18" s="5"/>
      <c r="VDS18" s="2"/>
      <c r="VDT18" s="7"/>
      <c r="VDU18"/>
      <c r="VDV18"/>
      <c r="VDW18" s="10"/>
      <c r="VDX18" s="2"/>
      <c r="VDY18"/>
      <c r="VDZ18" s="5"/>
      <c r="VEA18" s="2"/>
      <c r="VEB18" s="7"/>
      <c r="VEC18"/>
      <c r="VED18"/>
      <c r="VEE18" s="10"/>
      <c r="VEF18" s="2"/>
      <c r="VEG18"/>
      <c r="VEH18" s="5"/>
      <c r="VEI18" s="2"/>
      <c r="VEJ18" s="7"/>
      <c r="VEK18"/>
      <c r="VEL18"/>
      <c r="VEM18" s="10"/>
      <c r="VEN18" s="2"/>
      <c r="VEO18"/>
      <c r="VEP18" s="5"/>
      <c r="VEQ18" s="2"/>
      <c r="VER18" s="7"/>
      <c r="VES18"/>
      <c r="VET18"/>
      <c r="VEU18" s="10"/>
      <c r="VEV18" s="2"/>
      <c r="VEW18"/>
      <c r="VEX18" s="5"/>
      <c r="VEY18" s="2"/>
      <c r="VEZ18" s="7"/>
      <c r="VFA18"/>
      <c r="VFB18"/>
      <c r="VFC18" s="10"/>
      <c r="VFD18" s="2"/>
      <c r="VFE18"/>
      <c r="VFF18" s="5"/>
      <c r="VFG18" s="2"/>
      <c r="VFH18" s="7"/>
      <c r="VFI18"/>
      <c r="VFJ18"/>
      <c r="VFK18" s="10"/>
      <c r="VFL18" s="2"/>
      <c r="VFM18"/>
      <c r="VFN18" s="5"/>
      <c r="VFO18" s="2"/>
      <c r="VFP18" s="7"/>
      <c r="VFQ18"/>
      <c r="VFR18"/>
      <c r="VFS18" s="10"/>
      <c r="VFT18" s="2"/>
      <c r="VFU18"/>
      <c r="VFV18" s="5"/>
      <c r="VFW18" s="2"/>
      <c r="VFX18" s="7"/>
      <c r="VFY18"/>
      <c r="VFZ18"/>
      <c r="VGA18" s="10"/>
      <c r="VGB18" s="2"/>
      <c r="VGC18"/>
      <c r="VGD18" s="5"/>
      <c r="VGE18" s="2"/>
      <c r="VGF18" s="7"/>
      <c r="VGG18"/>
      <c r="VGH18"/>
      <c r="VGI18" s="10"/>
      <c r="VGJ18" s="2"/>
      <c r="VGK18"/>
      <c r="VGL18" s="5"/>
      <c r="VGM18" s="2"/>
      <c r="VGN18" s="7"/>
      <c r="VGO18"/>
      <c r="VGP18"/>
      <c r="VGQ18" s="10"/>
      <c r="VGR18" s="2"/>
      <c r="VGS18"/>
      <c r="VGT18" s="5"/>
      <c r="VGU18" s="2"/>
      <c r="VGV18" s="7"/>
      <c r="VGW18"/>
      <c r="VGX18"/>
      <c r="VGY18" s="10"/>
      <c r="VGZ18" s="2"/>
      <c r="VHA18"/>
      <c r="VHB18" s="5"/>
      <c r="VHC18" s="2"/>
      <c r="VHD18" s="7"/>
      <c r="VHE18"/>
      <c r="VHF18"/>
      <c r="VHG18" s="10"/>
      <c r="VHH18" s="2"/>
      <c r="VHI18"/>
      <c r="VHJ18" s="5"/>
      <c r="VHK18" s="2"/>
      <c r="VHL18" s="7"/>
      <c r="VHM18"/>
      <c r="VHN18"/>
      <c r="VHO18" s="10"/>
      <c r="VHP18" s="2"/>
      <c r="VHQ18"/>
      <c r="VHR18" s="5"/>
      <c r="VHS18" s="2"/>
      <c r="VHT18" s="7"/>
      <c r="VHU18"/>
      <c r="VHV18"/>
      <c r="VHW18" s="10"/>
      <c r="VHX18" s="2"/>
      <c r="VHY18"/>
      <c r="VHZ18" s="5"/>
      <c r="VIA18" s="2"/>
      <c r="VIB18" s="7"/>
      <c r="VIC18"/>
      <c r="VID18"/>
      <c r="VIE18" s="10"/>
      <c r="VIF18" s="2"/>
      <c r="VIG18"/>
      <c r="VIH18" s="5"/>
      <c r="VII18" s="2"/>
      <c r="VIJ18" s="7"/>
      <c r="VIK18"/>
      <c r="VIL18"/>
      <c r="VIM18" s="10"/>
      <c r="VIN18" s="2"/>
      <c r="VIO18"/>
      <c r="VIP18" s="5"/>
      <c r="VIQ18" s="2"/>
      <c r="VIR18" s="7"/>
      <c r="VIS18"/>
      <c r="VIT18"/>
      <c r="VIU18" s="10"/>
      <c r="VIV18" s="2"/>
      <c r="VIW18"/>
      <c r="VIX18" s="5"/>
      <c r="VIY18" s="2"/>
      <c r="VIZ18" s="7"/>
      <c r="VJA18"/>
      <c r="VJB18"/>
      <c r="VJC18" s="10"/>
      <c r="VJD18" s="2"/>
      <c r="VJE18"/>
      <c r="VJF18" s="5"/>
      <c r="VJG18" s="2"/>
      <c r="VJH18" s="7"/>
      <c r="VJI18"/>
      <c r="VJJ18"/>
      <c r="VJK18" s="10"/>
      <c r="VJL18" s="2"/>
      <c r="VJM18"/>
      <c r="VJN18" s="5"/>
      <c r="VJO18" s="2"/>
      <c r="VJP18" s="7"/>
      <c r="VJQ18"/>
      <c r="VJR18"/>
      <c r="VJS18" s="10"/>
      <c r="VJT18" s="2"/>
      <c r="VJU18"/>
      <c r="VJV18" s="5"/>
      <c r="VJW18" s="2"/>
      <c r="VJX18" s="7"/>
      <c r="VJY18"/>
      <c r="VJZ18"/>
      <c r="VKA18" s="10"/>
      <c r="VKB18" s="2"/>
      <c r="VKC18"/>
      <c r="VKD18" s="5"/>
      <c r="VKE18" s="2"/>
      <c r="VKF18" s="7"/>
      <c r="VKG18"/>
      <c r="VKH18"/>
      <c r="VKI18" s="10"/>
      <c r="VKJ18" s="2"/>
      <c r="VKK18"/>
      <c r="VKL18" s="5"/>
      <c r="VKM18" s="2"/>
      <c r="VKN18" s="7"/>
      <c r="VKO18"/>
      <c r="VKP18"/>
      <c r="VKQ18" s="10"/>
      <c r="VKR18" s="2"/>
      <c r="VKS18"/>
      <c r="VKT18" s="5"/>
      <c r="VKU18" s="2"/>
      <c r="VKV18" s="7"/>
      <c r="VKW18"/>
      <c r="VKX18"/>
      <c r="VKY18" s="10"/>
      <c r="VKZ18" s="2"/>
      <c r="VLA18"/>
      <c r="VLB18" s="5"/>
      <c r="VLC18" s="2"/>
      <c r="VLD18" s="7"/>
      <c r="VLE18"/>
      <c r="VLF18"/>
      <c r="VLG18" s="10"/>
      <c r="VLH18" s="2"/>
      <c r="VLI18"/>
      <c r="VLJ18" s="5"/>
      <c r="VLK18" s="2"/>
      <c r="VLL18" s="7"/>
      <c r="VLM18"/>
      <c r="VLN18"/>
      <c r="VLO18" s="10"/>
      <c r="VLP18" s="2"/>
      <c r="VLQ18"/>
      <c r="VLR18" s="5"/>
      <c r="VLS18" s="2"/>
      <c r="VLT18" s="7"/>
      <c r="VLU18"/>
      <c r="VLV18"/>
      <c r="VLW18" s="10"/>
      <c r="VLX18" s="2"/>
      <c r="VLY18"/>
      <c r="VLZ18" s="5"/>
      <c r="VMA18" s="2"/>
      <c r="VMB18" s="7"/>
      <c r="VMC18"/>
      <c r="VMD18"/>
      <c r="VME18" s="10"/>
      <c r="VMF18" s="2"/>
      <c r="VMG18"/>
      <c r="VMH18" s="5"/>
      <c r="VMI18" s="2"/>
      <c r="VMJ18" s="7"/>
      <c r="VMK18"/>
      <c r="VML18"/>
      <c r="VMM18" s="10"/>
      <c r="VMN18" s="2"/>
      <c r="VMO18"/>
      <c r="VMP18" s="5"/>
      <c r="VMQ18" s="2"/>
      <c r="VMR18" s="7"/>
      <c r="VMS18"/>
      <c r="VMT18"/>
      <c r="VMU18" s="10"/>
      <c r="VMV18" s="2"/>
      <c r="VMW18"/>
      <c r="VMX18" s="5"/>
      <c r="VMY18" s="2"/>
      <c r="VMZ18" s="7"/>
      <c r="VNA18"/>
      <c r="VNB18"/>
      <c r="VNC18" s="10"/>
      <c r="VND18" s="2"/>
      <c r="VNE18"/>
      <c r="VNF18" s="5"/>
      <c r="VNG18" s="2"/>
      <c r="VNH18" s="7"/>
      <c r="VNI18"/>
      <c r="VNJ18"/>
      <c r="VNK18" s="10"/>
      <c r="VNL18" s="2"/>
      <c r="VNM18"/>
      <c r="VNN18" s="5"/>
      <c r="VNO18" s="2"/>
      <c r="VNP18" s="7"/>
      <c r="VNQ18"/>
      <c r="VNR18"/>
      <c r="VNS18" s="10"/>
      <c r="VNT18" s="2"/>
      <c r="VNU18"/>
      <c r="VNV18" s="5"/>
      <c r="VNW18" s="2"/>
      <c r="VNX18" s="7"/>
      <c r="VNY18"/>
      <c r="VNZ18"/>
      <c r="VOA18" s="10"/>
      <c r="VOB18" s="2"/>
      <c r="VOC18"/>
      <c r="VOD18" s="5"/>
      <c r="VOE18" s="2"/>
      <c r="VOF18" s="7"/>
      <c r="VOG18"/>
      <c r="VOH18"/>
      <c r="VOI18" s="10"/>
      <c r="VOJ18" s="2"/>
      <c r="VOK18"/>
      <c r="VOL18" s="5"/>
      <c r="VOM18" s="2"/>
      <c r="VON18" s="7"/>
      <c r="VOO18"/>
      <c r="VOP18"/>
      <c r="VOQ18" s="10"/>
      <c r="VOR18" s="2"/>
      <c r="VOS18"/>
      <c r="VOT18" s="5"/>
      <c r="VOU18" s="2"/>
      <c r="VOV18" s="7"/>
      <c r="VOW18"/>
      <c r="VOX18"/>
      <c r="VOY18" s="10"/>
      <c r="VOZ18" s="2"/>
      <c r="VPA18"/>
      <c r="VPB18" s="5"/>
      <c r="VPC18" s="2"/>
      <c r="VPD18" s="7"/>
      <c r="VPE18"/>
      <c r="VPF18"/>
      <c r="VPG18" s="10"/>
      <c r="VPH18" s="2"/>
      <c r="VPI18"/>
      <c r="VPJ18" s="5"/>
      <c r="VPK18" s="2"/>
      <c r="VPL18" s="7"/>
      <c r="VPM18"/>
      <c r="VPN18"/>
      <c r="VPO18" s="10"/>
      <c r="VPP18" s="2"/>
      <c r="VPQ18"/>
      <c r="VPR18" s="5"/>
      <c r="VPS18" s="2"/>
      <c r="VPT18" s="7"/>
      <c r="VPU18"/>
      <c r="VPV18"/>
      <c r="VPW18" s="10"/>
      <c r="VPX18" s="2"/>
      <c r="VPY18"/>
      <c r="VPZ18" s="5"/>
      <c r="VQA18" s="2"/>
      <c r="VQB18" s="7"/>
      <c r="VQC18"/>
      <c r="VQD18"/>
      <c r="VQE18" s="10"/>
      <c r="VQF18" s="2"/>
      <c r="VQG18"/>
      <c r="VQH18" s="5"/>
      <c r="VQI18" s="2"/>
      <c r="VQJ18" s="7"/>
      <c r="VQK18"/>
      <c r="VQL18"/>
      <c r="VQM18" s="10"/>
      <c r="VQN18" s="2"/>
      <c r="VQO18"/>
      <c r="VQP18" s="5"/>
      <c r="VQQ18" s="2"/>
      <c r="VQR18" s="7"/>
      <c r="VQS18"/>
      <c r="VQT18"/>
      <c r="VQU18" s="10"/>
      <c r="VQV18" s="2"/>
      <c r="VQW18"/>
      <c r="VQX18" s="5"/>
      <c r="VQY18" s="2"/>
      <c r="VQZ18" s="7"/>
      <c r="VRA18"/>
      <c r="VRB18"/>
      <c r="VRC18" s="10"/>
      <c r="VRD18" s="2"/>
      <c r="VRE18"/>
      <c r="VRF18" s="5"/>
      <c r="VRG18" s="2"/>
      <c r="VRH18" s="7"/>
      <c r="VRI18"/>
      <c r="VRJ18"/>
      <c r="VRK18" s="10"/>
      <c r="VRL18" s="2"/>
      <c r="VRM18"/>
      <c r="VRN18" s="5"/>
      <c r="VRO18" s="2"/>
      <c r="VRP18" s="7"/>
      <c r="VRQ18"/>
      <c r="VRR18"/>
      <c r="VRS18" s="10"/>
      <c r="VRT18" s="2"/>
      <c r="VRU18"/>
      <c r="VRV18" s="5"/>
      <c r="VRW18" s="2"/>
      <c r="VRX18" s="7"/>
      <c r="VRY18"/>
      <c r="VRZ18"/>
      <c r="VSA18" s="10"/>
      <c r="VSB18" s="2"/>
      <c r="VSC18"/>
      <c r="VSD18" s="5"/>
      <c r="VSE18" s="2"/>
      <c r="VSF18" s="7"/>
      <c r="VSG18"/>
      <c r="VSH18"/>
      <c r="VSI18" s="10"/>
      <c r="VSJ18" s="2"/>
      <c r="VSK18"/>
      <c r="VSL18" s="5"/>
      <c r="VSM18" s="2"/>
      <c r="VSN18" s="7"/>
      <c r="VSO18"/>
      <c r="VSP18"/>
      <c r="VSQ18" s="10"/>
      <c r="VSR18" s="2"/>
      <c r="VSS18"/>
      <c r="VST18" s="5"/>
      <c r="VSU18" s="2"/>
      <c r="VSV18" s="7"/>
      <c r="VSW18"/>
      <c r="VSX18"/>
      <c r="VSY18" s="10"/>
      <c r="VSZ18" s="2"/>
      <c r="VTA18"/>
      <c r="VTB18" s="5"/>
      <c r="VTC18" s="2"/>
      <c r="VTD18" s="7"/>
      <c r="VTE18"/>
      <c r="VTF18"/>
      <c r="VTG18" s="10"/>
      <c r="VTH18" s="2"/>
      <c r="VTI18"/>
      <c r="VTJ18" s="5"/>
      <c r="VTK18" s="2"/>
      <c r="VTL18" s="7"/>
      <c r="VTM18"/>
      <c r="VTN18"/>
      <c r="VTO18" s="10"/>
      <c r="VTP18" s="2"/>
      <c r="VTQ18"/>
      <c r="VTR18" s="5"/>
      <c r="VTS18" s="2"/>
      <c r="VTT18" s="7"/>
      <c r="VTU18"/>
      <c r="VTV18"/>
      <c r="VTW18" s="10"/>
      <c r="VTX18" s="2"/>
      <c r="VTY18"/>
      <c r="VTZ18" s="5"/>
      <c r="VUA18" s="2"/>
      <c r="VUB18" s="7"/>
      <c r="VUC18"/>
      <c r="VUD18"/>
      <c r="VUE18" s="10"/>
      <c r="VUF18" s="2"/>
      <c r="VUG18"/>
      <c r="VUH18" s="5"/>
      <c r="VUI18" s="2"/>
      <c r="VUJ18" s="7"/>
      <c r="VUK18"/>
      <c r="VUL18"/>
      <c r="VUM18" s="10"/>
      <c r="VUN18" s="2"/>
      <c r="VUO18"/>
      <c r="VUP18" s="5"/>
      <c r="VUQ18" s="2"/>
      <c r="VUR18" s="7"/>
      <c r="VUS18"/>
      <c r="VUT18"/>
      <c r="VUU18" s="10"/>
      <c r="VUV18" s="2"/>
      <c r="VUW18"/>
      <c r="VUX18" s="5"/>
      <c r="VUY18" s="2"/>
      <c r="VUZ18" s="7"/>
      <c r="VVA18"/>
      <c r="VVB18"/>
      <c r="VVC18" s="10"/>
      <c r="VVD18" s="2"/>
      <c r="VVE18"/>
      <c r="VVF18" s="5"/>
      <c r="VVG18" s="2"/>
      <c r="VVH18" s="7"/>
      <c r="VVI18"/>
      <c r="VVJ18"/>
      <c r="VVK18" s="10"/>
      <c r="VVL18" s="2"/>
      <c r="VVM18"/>
      <c r="VVN18" s="5"/>
      <c r="VVO18" s="2"/>
      <c r="VVP18" s="7"/>
      <c r="VVQ18"/>
      <c r="VVR18"/>
      <c r="VVS18" s="10"/>
      <c r="VVT18" s="2"/>
      <c r="VVU18"/>
      <c r="VVV18" s="5"/>
      <c r="VVW18" s="2"/>
      <c r="VVX18" s="7"/>
      <c r="VVY18"/>
      <c r="VVZ18"/>
      <c r="VWA18" s="10"/>
      <c r="VWB18" s="2"/>
      <c r="VWC18"/>
      <c r="VWD18" s="5"/>
      <c r="VWE18" s="2"/>
      <c r="VWF18" s="7"/>
      <c r="VWG18"/>
      <c r="VWH18"/>
      <c r="VWI18" s="10"/>
      <c r="VWJ18" s="2"/>
      <c r="VWK18"/>
      <c r="VWL18" s="5"/>
      <c r="VWM18" s="2"/>
      <c r="VWN18" s="7"/>
      <c r="VWO18"/>
      <c r="VWP18"/>
      <c r="VWQ18" s="10"/>
      <c r="VWR18" s="2"/>
      <c r="VWS18"/>
      <c r="VWT18" s="5"/>
      <c r="VWU18" s="2"/>
      <c r="VWV18" s="7"/>
      <c r="VWW18"/>
      <c r="VWX18"/>
      <c r="VWY18" s="10"/>
      <c r="VWZ18" s="2"/>
      <c r="VXA18"/>
      <c r="VXB18" s="5"/>
      <c r="VXC18" s="2"/>
      <c r="VXD18" s="7"/>
      <c r="VXE18"/>
      <c r="VXF18"/>
      <c r="VXG18" s="10"/>
      <c r="VXH18" s="2"/>
      <c r="VXI18"/>
      <c r="VXJ18" s="5"/>
      <c r="VXK18" s="2"/>
      <c r="VXL18" s="7"/>
      <c r="VXM18"/>
      <c r="VXN18"/>
      <c r="VXO18" s="10"/>
      <c r="VXP18" s="2"/>
      <c r="VXQ18"/>
      <c r="VXR18" s="5"/>
      <c r="VXS18" s="2"/>
      <c r="VXT18" s="7"/>
      <c r="VXU18"/>
      <c r="VXV18"/>
      <c r="VXW18" s="10"/>
      <c r="VXX18" s="2"/>
      <c r="VXY18"/>
      <c r="VXZ18" s="5"/>
      <c r="VYA18" s="2"/>
      <c r="VYB18" s="7"/>
      <c r="VYC18"/>
      <c r="VYD18"/>
      <c r="VYE18" s="10"/>
      <c r="VYF18" s="2"/>
      <c r="VYG18"/>
      <c r="VYH18" s="5"/>
      <c r="VYI18" s="2"/>
      <c r="VYJ18" s="7"/>
      <c r="VYK18"/>
      <c r="VYL18"/>
      <c r="VYM18" s="10"/>
      <c r="VYN18" s="2"/>
      <c r="VYO18"/>
      <c r="VYP18" s="5"/>
      <c r="VYQ18" s="2"/>
      <c r="VYR18" s="7"/>
      <c r="VYS18"/>
      <c r="VYT18"/>
      <c r="VYU18" s="10"/>
      <c r="VYV18" s="2"/>
      <c r="VYW18"/>
      <c r="VYX18" s="5"/>
      <c r="VYY18" s="2"/>
      <c r="VYZ18" s="7"/>
      <c r="VZA18"/>
      <c r="VZB18"/>
      <c r="VZC18" s="10"/>
      <c r="VZD18" s="2"/>
      <c r="VZE18"/>
      <c r="VZF18" s="5"/>
      <c r="VZG18" s="2"/>
      <c r="VZH18" s="7"/>
      <c r="VZI18"/>
      <c r="VZJ18"/>
      <c r="VZK18" s="10"/>
      <c r="VZL18" s="2"/>
      <c r="VZM18"/>
      <c r="VZN18" s="5"/>
      <c r="VZO18" s="2"/>
      <c r="VZP18" s="7"/>
      <c r="VZQ18"/>
      <c r="VZR18"/>
      <c r="VZS18" s="10"/>
      <c r="VZT18" s="2"/>
      <c r="VZU18"/>
      <c r="VZV18" s="5"/>
      <c r="VZW18" s="2"/>
      <c r="VZX18" s="7"/>
      <c r="VZY18"/>
      <c r="VZZ18"/>
      <c r="WAA18" s="10"/>
      <c r="WAB18" s="2"/>
      <c r="WAC18"/>
      <c r="WAD18" s="5"/>
      <c r="WAE18" s="2"/>
      <c r="WAF18" s="7"/>
      <c r="WAG18"/>
      <c r="WAH18"/>
      <c r="WAI18" s="10"/>
      <c r="WAJ18" s="2"/>
      <c r="WAK18"/>
      <c r="WAL18" s="5"/>
      <c r="WAM18" s="2"/>
      <c r="WAN18" s="7"/>
      <c r="WAO18"/>
      <c r="WAP18"/>
      <c r="WAQ18" s="10"/>
      <c r="WAR18" s="2"/>
      <c r="WAS18"/>
      <c r="WAT18" s="5"/>
      <c r="WAU18" s="2"/>
      <c r="WAV18" s="7"/>
      <c r="WAW18"/>
      <c r="WAX18"/>
      <c r="WAY18" s="10"/>
      <c r="WAZ18" s="2"/>
      <c r="WBA18"/>
      <c r="WBB18" s="5"/>
      <c r="WBC18" s="2"/>
      <c r="WBD18" s="7"/>
      <c r="WBE18"/>
      <c r="WBF18"/>
      <c r="WBG18" s="10"/>
      <c r="WBH18" s="2"/>
      <c r="WBI18"/>
      <c r="WBJ18" s="5"/>
      <c r="WBK18" s="2"/>
      <c r="WBL18" s="7"/>
      <c r="WBM18"/>
      <c r="WBN18"/>
      <c r="WBO18" s="10"/>
      <c r="WBP18" s="2"/>
      <c r="WBQ18"/>
      <c r="WBR18" s="5"/>
      <c r="WBS18" s="2"/>
      <c r="WBT18" s="7"/>
      <c r="WBU18"/>
      <c r="WBV18"/>
      <c r="WBW18" s="10"/>
      <c r="WBX18" s="2"/>
      <c r="WBY18"/>
      <c r="WBZ18" s="5"/>
      <c r="WCA18" s="2"/>
      <c r="WCB18" s="7"/>
      <c r="WCC18"/>
      <c r="WCD18"/>
      <c r="WCE18" s="10"/>
      <c r="WCF18" s="2"/>
      <c r="WCG18"/>
      <c r="WCH18" s="5"/>
      <c r="WCI18" s="2"/>
      <c r="WCJ18" s="7"/>
      <c r="WCK18"/>
      <c r="WCL18"/>
      <c r="WCM18" s="10"/>
      <c r="WCN18" s="2"/>
      <c r="WCO18"/>
      <c r="WCP18" s="5"/>
      <c r="WCQ18" s="2"/>
      <c r="WCR18" s="7"/>
      <c r="WCS18"/>
      <c r="WCT18"/>
      <c r="WCU18" s="10"/>
      <c r="WCV18" s="2"/>
      <c r="WCW18"/>
      <c r="WCX18" s="5"/>
      <c r="WCY18" s="2"/>
      <c r="WCZ18" s="7"/>
      <c r="WDA18"/>
      <c r="WDB18"/>
      <c r="WDC18" s="10"/>
      <c r="WDD18" s="2"/>
      <c r="WDE18"/>
      <c r="WDF18" s="5"/>
      <c r="WDG18" s="2"/>
      <c r="WDH18" s="7"/>
      <c r="WDI18"/>
      <c r="WDJ18"/>
      <c r="WDK18" s="10"/>
      <c r="WDL18" s="2"/>
      <c r="WDM18"/>
      <c r="WDN18" s="5"/>
      <c r="WDO18" s="2"/>
      <c r="WDP18" s="7"/>
      <c r="WDQ18"/>
      <c r="WDR18"/>
      <c r="WDS18" s="10"/>
      <c r="WDT18" s="2"/>
      <c r="WDU18"/>
      <c r="WDV18" s="5"/>
      <c r="WDW18" s="2"/>
      <c r="WDX18" s="7"/>
      <c r="WDY18"/>
      <c r="WDZ18"/>
      <c r="WEA18" s="10"/>
      <c r="WEB18" s="2"/>
      <c r="WEC18"/>
      <c r="WED18" s="5"/>
      <c r="WEE18" s="2"/>
      <c r="WEF18" s="7"/>
      <c r="WEG18"/>
      <c r="WEH18"/>
      <c r="WEI18" s="10"/>
      <c r="WEJ18" s="2"/>
      <c r="WEK18"/>
      <c r="WEL18" s="5"/>
      <c r="WEM18" s="2"/>
      <c r="WEN18" s="7"/>
      <c r="WEO18"/>
      <c r="WEP18"/>
      <c r="WEQ18" s="10"/>
      <c r="WER18" s="2"/>
      <c r="WES18"/>
      <c r="WET18" s="5"/>
      <c r="WEU18" s="2"/>
      <c r="WEV18" s="7"/>
      <c r="WEW18"/>
      <c r="WEX18"/>
      <c r="WEY18" s="10"/>
      <c r="WEZ18" s="2"/>
      <c r="WFA18"/>
      <c r="WFB18" s="5"/>
      <c r="WFC18" s="2"/>
      <c r="WFD18" s="7"/>
      <c r="WFE18"/>
      <c r="WFF18"/>
      <c r="WFG18" s="10"/>
      <c r="WFH18" s="2"/>
      <c r="WFI18"/>
      <c r="WFJ18" s="5"/>
      <c r="WFK18" s="2"/>
      <c r="WFL18" s="7"/>
      <c r="WFM18"/>
      <c r="WFN18"/>
      <c r="WFO18" s="10"/>
      <c r="WFP18" s="2"/>
      <c r="WFQ18"/>
      <c r="WFR18" s="5"/>
      <c r="WFS18" s="2"/>
      <c r="WFT18" s="7"/>
      <c r="WFU18"/>
      <c r="WFV18"/>
      <c r="WFW18" s="10"/>
      <c r="WFX18" s="2"/>
      <c r="WFY18"/>
      <c r="WFZ18" s="5"/>
      <c r="WGA18" s="2"/>
      <c r="WGB18" s="7"/>
      <c r="WGC18"/>
      <c r="WGD18"/>
      <c r="WGE18" s="10"/>
      <c r="WGF18" s="2"/>
      <c r="WGG18"/>
      <c r="WGH18" s="5"/>
      <c r="WGI18" s="2"/>
      <c r="WGJ18" s="7"/>
      <c r="WGK18"/>
      <c r="WGL18"/>
      <c r="WGM18" s="10"/>
      <c r="WGN18" s="2"/>
      <c r="WGO18"/>
      <c r="WGP18" s="5"/>
      <c r="WGQ18" s="2"/>
      <c r="WGR18" s="7"/>
      <c r="WGS18"/>
      <c r="WGT18"/>
      <c r="WGU18" s="10"/>
      <c r="WGV18" s="2"/>
      <c r="WGW18"/>
      <c r="WGX18" s="5"/>
      <c r="WGY18" s="2"/>
      <c r="WGZ18" s="7"/>
      <c r="WHA18"/>
      <c r="WHB18"/>
      <c r="WHC18" s="10"/>
      <c r="WHD18" s="2"/>
      <c r="WHE18"/>
      <c r="WHF18" s="5"/>
      <c r="WHG18" s="2"/>
      <c r="WHH18" s="7"/>
      <c r="WHI18"/>
      <c r="WHJ18"/>
      <c r="WHK18" s="10"/>
      <c r="WHL18" s="2"/>
      <c r="WHM18"/>
      <c r="WHN18" s="5"/>
      <c r="WHO18" s="2"/>
      <c r="WHP18" s="7"/>
      <c r="WHQ18"/>
      <c r="WHR18"/>
      <c r="WHS18" s="10"/>
      <c r="WHT18" s="2"/>
      <c r="WHU18"/>
      <c r="WHV18" s="5"/>
      <c r="WHW18" s="2"/>
      <c r="WHX18" s="7"/>
      <c r="WHY18"/>
      <c r="WHZ18"/>
      <c r="WIA18" s="10"/>
      <c r="WIB18" s="2"/>
      <c r="WIC18"/>
      <c r="WID18" s="5"/>
      <c r="WIE18" s="2"/>
      <c r="WIF18" s="7"/>
      <c r="WIG18"/>
      <c r="WIH18"/>
      <c r="WII18" s="10"/>
      <c r="WIJ18" s="2"/>
      <c r="WIK18"/>
      <c r="WIL18" s="5"/>
      <c r="WIM18" s="2"/>
      <c r="WIN18" s="7"/>
      <c r="WIO18"/>
      <c r="WIP18"/>
      <c r="WIQ18" s="10"/>
      <c r="WIR18" s="2"/>
      <c r="WIS18"/>
      <c r="WIT18" s="5"/>
      <c r="WIU18" s="2"/>
      <c r="WIV18" s="7"/>
      <c r="WIW18"/>
      <c r="WIX18"/>
      <c r="WIY18" s="10"/>
      <c r="WIZ18" s="2"/>
      <c r="WJA18"/>
      <c r="WJB18" s="5"/>
      <c r="WJC18" s="2"/>
      <c r="WJD18" s="7"/>
      <c r="WJE18"/>
      <c r="WJF18"/>
      <c r="WJG18" s="10"/>
      <c r="WJH18" s="2"/>
      <c r="WJI18"/>
      <c r="WJJ18" s="5"/>
      <c r="WJK18" s="2"/>
      <c r="WJL18" s="7"/>
      <c r="WJM18"/>
      <c r="WJN18"/>
      <c r="WJO18" s="10"/>
      <c r="WJP18" s="2"/>
      <c r="WJQ18"/>
      <c r="WJR18" s="5"/>
      <c r="WJS18" s="2"/>
      <c r="WJT18" s="7"/>
      <c r="WJU18"/>
      <c r="WJV18"/>
      <c r="WJW18" s="10"/>
      <c r="WJX18" s="2"/>
      <c r="WJY18"/>
      <c r="WJZ18" s="5"/>
      <c r="WKA18" s="2"/>
      <c r="WKB18" s="7"/>
      <c r="WKC18"/>
      <c r="WKD18"/>
      <c r="WKE18" s="10"/>
      <c r="WKF18" s="2"/>
      <c r="WKG18"/>
      <c r="WKH18" s="5"/>
      <c r="WKI18" s="2"/>
      <c r="WKJ18" s="7"/>
      <c r="WKK18"/>
      <c r="WKL18"/>
      <c r="WKM18" s="10"/>
      <c r="WKN18" s="2"/>
      <c r="WKO18"/>
      <c r="WKP18" s="5"/>
      <c r="WKQ18" s="2"/>
      <c r="WKR18" s="7"/>
      <c r="WKS18"/>
      <c r="WKT18"/>
      <c r="WKU18" s="10"/>
      <c r="WKV18" s="2"/>
      <c r="WKW18"/>
      <c r="WKX18" s="5"/>
      <c r="WKY18" s="2"/>
      <c r="WKZ18" s="7"/>
      <c r="WLA18"/>
      <c r="WLB18"/>
      <c r="WLC18" s="10"/>
      <c r="WLD18" s="2"/>
      <c r="WLE18"/>
      <c r="WLF18" s="5"/>
      <c r="WLG18" s="2"/>
      <c r="WLH18" s="7"/>
      <c r="WLI18"/>
      <c r="WLJ18"/>
      <c r="WLK18" s="10"/>
      <c r="WLL18" s="2"/>
      <c r="WLM18"/>
      <c r="WLN18" s="5"/>
      <c r="WLO18" s="2"/>
      <c r="WLP18" s="7"/>
      <c r="WLQ18"/>
      <c r="WLR18"/>
      <c r="WLS18" s="10"/>
      <c r="WLT18" s="2"/>
      <c r="WLU18"/>
      <c r="WLV18" s="5"/>
      <c r="WLW18" s="2"/>
      <c r="WLX18" s="7"/>
      <c r="WLY18"/>
      <c r="WLZ18"/>
      <c r="WMA18" s="10"/>
      <c r="WMB18" s="2"/>
      <c r="WMC18"/>
      <c r="WMD18" s="5"/>
      <c r="WME18" s="2"/>
      <c r="WMF18" s="7"/>
      <c r="WMG18"/>
      <c r="WMH18"/>
      <c r="WMI18" s="10"/>
      <c r="WMJ18" s="2"/>
      <c r="WMK18"/>
      <c r="WML18" s="5"/>
      <c r="WMM18" s="2"/>
      <c r="WMN18" s="7"/>
      <c r="WMO18"/>
      <c r="WMP18"/>
      <c r="WMQ18" s="10"/>
      <c r="WMR18" s="2"/>
      <c r="WMS18"/>
      <c r="WMT18" s="5"/>
      <c r="WMU18" s="2"/>
      <c r="WMV18" s="7"/>
      <c r="WMW18"/>
      <c r="WMX18"/>
      <c r="WMY18" s="10"/>
      <c r="WMZ18" s="2"/>
      <c r="WNA18"/>
      <c r="WNB18" s="5"/>
      <c r="WNC18" s="2"/>
      <c r="WND18" s="7"/>
      <c r="WNE18"/>
      <c r="WNF18"/>
      <c r="WNG18" s="10"/>
      <c r="WNH18" s="2"/>
      <c r="WNI18"/>
      <c r="WNJ18" s="5"/>
      <c r="WNK18" s="2"/>
      <c r="WNL18" s="7"/>
      <c r="WNM18"/>
      <c r="WNN18"/>
      <c r="WNO18" s="10"/>
      <c r="WNP18" s="2"/>
      <c r="WNQ18"/>
      <c r="WNR18" s="5"/>
      <c r="WNS18" s="2"/>
      <c r="WNT18" s="7"/>
      <c r="WNU18"/>
      <c r="WNV18"/>
      <c r="WNW18" s="10"/>
      <c r="WNX18" s="2"/>
      <c r="WNY18"/>
      <c r="WNZ18" s="5"/>
      <c r="WOA18" s="2"/>
      <c r="WOB18" s="7"/>
      <c r="WOC18"/>
      <c r="WOD18"/>
      <c r="WOE18" s="10"/>
      <c r="WOF18" s="2"/>
      <c r="WOG18"/>
      <c r="WOH18" s="5"/>
      <c r="WOI18" s="2"/>
      <c r="WOJ18" s="7"/>
      <c r="WOK18"/>
      <c r="WOL18"/>
      <c r="WOM18" s="10"/>
      <c r="WON18" s="2"/>
      <c r="WOO18"/>
      <c r="WOP18" s="5"/>
      <c r="WOQ18" s="2"/>
      <c r="WOR18" s="7"/>
      <c r="WOS18"/>
      <c r="WOT18"/>
      <c r="WOU18" s="10"/>
      <c r="WOV18" s="2"/>
      <c r="WOW18"/>
      <c r="WOX18" s="5"/>
      <c r="WOY18" s="2"/>
      <c r="WOZ18" s="7"/>
      <c r="WPA18"/>
      <c r="WPB18"/>
      <c r="WPC18" s="10"/>
      <c r="WPD18" s="2"/>
      <c r="WPE18"/>
      <c r="WPF18" s="5"/>
      <c r="WPG18" s="2"/>
      <c r="WPH18" s="7"/>
      <c r="WPI18"/>
      <c r="WPJ18"/>
      <c r="WPK18" s="10"/>
      <c r="WPL18" s="2"/>
      <c r="WPM18"/>
      <c r="WPN18" s="5"/>
      <c r="WPO18" s="2"/>
      <c r="WPP18" s="7"/>
      <c r="WPQ18"/>
      <c r="WPR18"/>
      <c r="WPS18" s="10"/>
      <c r="WPT18" s="2"/>
      <c r="WPU18"/>
      <c r="WPV18" s="5"/>
      <c r="WPW18" s="2"/>
      <c r="WPX18" s="7"/>
      <c r="WPY18"/>
      <c r="WPZ18"/>
      <c r="WQA18" s="10"/>
      <c r="WQB18" s="2"/>
      <c r="WQC18"/>
      <c r="WQD18" s="5"/>
      <c r="WQE18" s="2"/>
      <c r="WQF18" s="7"/>
      <c r="WQG18"/>
      <c r="WQH18"/>
      <c r="WQI18" s="10"/>
      <c r="WQJ18" s="2"/>
      <c r="WQK18"/>
      <c r="WQL18" s="5"/>
      <c r="WQM18" s="2"/>
      <c r="WQN18" s="7"/>
      <c r="WQO18"/>
      <c r="WQP18"/>
      <c r="WQQ18" s="10"/>
      <c r="WQR18" s="2"/>
      <c r="WQS18"/>
      <c r="WQT18" s="5"/>
      <c r="WQU18" s="2"/>
      <c r="WQV18" s="7"/>
      <c r="WQW18"/>
      <c r="WQX18"/>
      <c r="WQY18" s="10"/>
      <c r="WQZ18" s="2"/>
      <c r="WRA18"/>
      <c r="WRB18" s="5"/>
      <c r="WRC18" s="2"/>
      <c r="WRD18" s="7"/>
      <c r="WRE18"/>
      <c r="WRF18"/>
      <c r="WRG18" s="10"/>
      <c r="WRH18" s="2"/>
      <c r="WRI18"/>
      <c r="WRJ18" s="5"/>
      <c r="WRK18" s="2"/>
      <c r="WRL18" s="7"/>
      <c r="WRM18"/>
      <c r="WRN18"/>
      <c r="WRO18" s="10"/>
      <c r="WRP18" s="2"/>
      <c r="WRQ18"/>
      <c r="WRR18" s="5"/>
      <c r="WRS18" s="2"/>
      <c r="WRT18" s="7"/>
      <c r="WRU18"/>
      <c r="WRV18"/>
      <c r="WRW18" s="10"/>
      <c r="WRX18" s="2"/>
      <c r="WRY18"/>
      <c r="WRZ18" s="5"/>
      <c r="WSA18" s="2"/>
      <c r="WSB18" s="7"/>
      <c r="WSC18"/>
      <c r="WSD18"/>
      <c r="WSE18" s="10"/>
      <c r="WSF18" s="2"/>
      <c r="WSG18"/>
      <c r="WSH18" s="5"/>
      <c r="WSI18" s="2"/>
      <c r="WSJ18" s="7"/>
      <c r="WSK18"/>
      <c r="WSL18"/>
      <c r="WSM18" s="10"/>
      <c r="WSN18" s="2"/>
      <c r="WSO18"/>
      <c r="WSP18" s="5"/>
      <c r="WSQ18" s="2"/>
      <c r="WSR18" s="7"/>
      <c r="WSS18"/>
      <c r="WST18"/>
      <c r="WSU18" s="10"/>
      <c r="WSV18" s="2"/>
      <c r="WSW18"/>
      <c r="WSX18" s="5"/>
      <c r="WSY18" s="2"/>
      <c r="WSZ18" s="7"/>
      <c r="WTA18"/>
      <c r="WTB18"/>
      <c r="WTC18" s="10"/>
      <c r="WTD18" s="2"/>
      <c r="WTE18"/>
      <c r="WTF18" s="5"/>
      <c r="WTG18" s="2"/>
      <c r="WTH18" s="7"/>
      <c r="WTI18"/>
      <c r="WTJ18"/>
      <c r="WTK18" s="10"/>
      <c r="WTL18" s="2"/>
      <c r="WTM18"/>
      <c r="WTN18" s="5"/>
      <c r="WTO18" s="2"/>
      <c r="WTP18" s="7"/>
      <c r="WTQ18"/>
      <c r="WTR18"/>
      <c r="WTS18" s="10"/>
      <c r="WTT18" s="2"/>
      <c r="WTU18"/>
      <c r="WTV18" s="5"/>
      <c r="WTW18" s="2"/>
      <c r="WTX18" s="7"/>
      <c r="WTY18"/>
      <c r="WTZ18"/>
      <c r="WUA18" s="10"/>
      <c r="WUB18" s="2"/>
      <c r="WUC18"/>
      <c r="WUD18" s="5"/>
      <c r="WUE18" s="2"/>
      <c r="WUF18" s="7"/>
      <c r="WUG18"/>
      <c r="WUH18"/>
      <c r="WUI18" s="10"/>
      <c r="WUJ18" s="2"/>
      <c r="WUK18"/>
      <c r="WUL18" s="5"/>
      <c r="WUM18" s="2"/>
      <c r="WUN18" s="7"/>
      <c r="WUO18"/>
      <c r="WUP18"/>
      <c r="WUQ18" s="10"/>
      <c r="WUR18" s="2"/>
      <c r="WUS18"/>
      <c r="WUT18" s="5"/>
      <c r="WUU18" s="2"/>
      <c r="WUV18" s="7"/>
      <c r="WUW18"/>
      <c r="WUX18"/>
      <c r="WUY18" s="10"/>
      <c r="WUZ18" s="2"/>
      <c r="WVA18"/>
      <c r="WVB18" s="5"/>
      <c r="WVC18" s="2"/>
      <c r="WVD18" s="7"/>
      <c r="WVE18"/>
      <c r="WVF18"/>
      <c r="WVG18" s="10"/>
      <c r="WVH18" s="2"/>
      <c r="WVI18"/>
      <c r="WVJ18" s="5"/>
      <c r="WVK18" s="2"/>
      <c r="WVL18" s="7"/>
      <c r="WVM18"/>
      <c r="WVN18"/>
      <c r="WVO18" s="10"/>
      <c r="WVP18" s="2"/>
      <c r="WVQ18"/>
      <c r="WVR18" s="5"/>
      <c r="WVS18" s="2"/>
      <c r="WVT18" s="7"/>
      <c r="WVU18"/>
      <c r="WVV18"/>
      <c r="WVW18" s="10"/>
      <c r="WVX18" s="2"/>
      <c r="WVY18"/>
      <c r="WVZ18" s="5"/>
      <c r="WWA18" s="2"/>
      <c r="WWB18" s="7"/>
      <c r="WWC18"/>
      <c r="WWD18"/>
      <c r="WWE18" s="10"/>
      <c r="WWF18" s="2"/>
      <c r="WWG18"/>
      <c r="WWH18" s="5"/>
      <c r="WWI18" s="2"/>
      <c r="WWJ18" s="7"/>
      <c r="WWK18"/>
      <c r="WWL18"/>
      <c r="WWM18" s="10"/>
      <c r="WWN18" s="2"/>
      <c r="WWO18"/>
      <c r="WWP18" s="5"/>
      <c r="WWQ18" s="2"/>
      <c r="WWR18" s="7"/>
      <c r="WWS18"/>
      <c r="WWT18"/>
      <c r="WWU18" s="10"/>
      <c r="WWV18" s="2"/>
      <c r="WWW18"/>
      <c r="WWX18" s="5"/>
      <c r="WWY18" s="2"/>
      <c r="WWZ18" s="7"/>
      <c r="WXA18"/>
      <c r="WXB18"/>
      <c r="WXC18" s="10"/>
      <c r="WXD18" s="2"/>
      <c r="WXE18"/>
      <c r="WXF18" s="5"/>
      <c r="WXG18" s="2"/>
      <c r="WXH18" s="7"/>
      <c r="WXI18"/>
      <c r="WXJ18"/>
      <c r="WXK18" s="10"/>
      <c r="WXL18" s="2"/>
      <c r="WXM18"/>
      <c r="WXN18" s="5"/>
      <c r="WXO18" s="2"/>
      <c r="WXP18" s="7"/>
      <c r="WXQ18"/>
      <c r="WXR18"/>
      <c r="WXS18" s="10"/>
      <c r="WXT18" s="2"/>
      <c r="WXU18"/>
      <c r="WXV18" s="5"/>
      <c r="WXW18" s="2"/>
      <c r="WXX18" s="7"/>
      <c r="WXY18"/>
      <c r="WXZ18"/>
      <c r="WYA18" s="10"/>
      <c r="WYB18" s="2"/>
      <c r="WYC18"/>
      <c r="WYD18" s="5"/>
      <c r="WYE18" s="2"/>
      <c r="WYF18" s="7"/>
      <c r="WYG18"/>
      <c r="WYH18"/>
      <c r="WYI18" s="10"/>
      <c r="WYJ18" s="2"/>
      <c r="WYK18"/>
      <c r="WYL18" s="5"/>
      <c r="WYM18" s="2"/>
      <c r="WYN18" s="7"/>
      <c r="WYO18"/>
      <c r="WYP18"/>
      <c r="WYQ18" s="10"/>
      <c r="WYR18" s="2"/>
      <c r="WYS18"/>
      <c r="WYT18" s="5"/>
      <c r="WYU18" s="2"/>
      <c r="WYV18" s="7"/>
      <c r="WYW18"/>
      <c r="WYX18"/>
      <c r="WYY18" s="10"/>
      <c r="WYZ18" s="2"/>
      <c r="WZA18"/>
      <c r="WZB18" s="5"/>
      <c r="WZC18" s="2"/>
      <c r="WZD18" s="7"/>
      <c r="WZE18"/>
      <c r="WZF18"/>
      <c r="WZG18" s="10"/>
      <c r="WZH18" s="2"/>
      <c r="WZI18"/>
      <c r="WZJ18" s="5"/>
      <c r="WZK18" s="2"/>
      <c r="WZL18" s="7"/>
      <c r="WZM18"/>
      <c r="WZN18"/>
      <c r="WZO18" s="10"/>
      <c r="WZP18" s="2"/>
      <c r="WZQ18"/>
      <c r="WZR18" s="5"/>
      <c r="WZS18" s="2"/>
      <c r="WZT18" s="7"/>
      <c r="WZU18"/>
      <c r="WZV18"/>
      <c r="WZW18" s="10"/>
      <c r="WZX18" s="2"/>
      <c r="WZY18"/>
      <c r="WZZ18" s="5"/>
      <c r="XAA18" s="2"/>
      <c r="XAB18" s="7"/>
      <c r="XAC18"/>
      <c r="XAD18"/>
      <c r="XAE18" s="10"/>
      <c r="XAF18" s="2"/>
      <c r="XAG18"/>
      <c r="XAH18" s="5"/>
      <c r="XAI18" s="2"/>
      <c r="XAJ18" s="7"/>
      <c r="XAK18"/>
      <c r="XAL18"/>
      <c r="XAM18" s="10"/>
      <c r="XAN18" s="2"/>
      <c r="XAO18"/>
      <c r="XAP18" s="5"/>
      <c r="XAQ18" s="2"/>
      <c r="XAR18" s="7"/>
      <c r="XAS18"/>
      <c r="XAT18"/>
      <c r="XAU18" s="10"/>
      <c r="XAV18" s="2"/>
      <c r="XAW18"/>
      <c r="XAX18" s="5"/>
      <c r="XAY18" s="2"/>
      <c r="XAZ18" s="7"/>
      <c r="XBA18"/>
      <c r="XBB18"/>
      <c r="XBC18" s="10"/>
      <c r="XBD18" s="2"/>
      <c r="XBE18"/>
      <c r="XBF18" s="5"/>
      <c r="XBG18" s="2"/>
      <c r="XBH18" s="7"/>
      <c r="XBI18"/>
      <c r="XBJ18"/>
      <c r="XBK18" s="10"/>
      <c r="XBL18" s="2"/>
      <c r="XBM18"/>
      <c r="XBN18" s="5"/>
      <c r="XBO18" s="2"/>
      <c r="XBP18" s="7"/>
      <c r="XBQ18"/>
      <c r="XBR18"/>
      <c r="XBS18" s="10"/>
      <c r="XBT18" s="2"/>
      <c r="XBU18"/>
      <c r="XBV18" s="5"/>
      <c r="XBW18" s="2"/>
      <c r="XBX18" s="7"/>
      <c r="XBY18"/>
      <c r="XBZ18"/>
      <c r="XCA18" s="10"/>
      <c r="XCB18" s="2"/>
      <c r="XCC18"/>
      <c r="XCD18" s="5"/>
      <c r="XCE18" s="2"/>
      <c r="XCF18" s="7"/>
      <c r="XCG18"/>
      <c r="XCH18"/>
      <c r="XCI18" s="10"/>
      <c r="XCJ18" s="2"/>
      <c r="XCK18"/>
      <c r="XCL18" s="5"/>
      <c r="XCM18" s="2"/>
      <c r="XCN18" s="7"/>
      <c r="XCO18"/>
      <c r="XCP18"/>
      <c r="XCQ18" s="10"/>
      <c r="XCR18" s="2"/>
      <c r="XCS18"/>
      <c r="XCT18" s="5"/>
      <c r="XCU18" s="2"/>
      <c r="XCV18" s="7"/>
      <c r="XCW18"/>
      <c r="XCX18"/>
      <c r="XCY18" s="10"/>
      <c r="XCZ18" s="2"/>
      <c r="XDA18"/>
      <c r="XDB18" s="5"/>
      <c r="XDC18" s="2"/>
      <c r="XDD18" s="7"/>
      <c r="XDE18"/>
      <c r="XDF18"/>
      <c r="XDG18" s="10"/>
      <c r="XDH18" s="2"/>
      <c r="XDI18"/>
      <c r="XDJ18" s="5"/>
      <c r="XDK18" s="2"/>
      <c r="XDL18" s="7"/>
      <c r="XDM18"/>
      <c r="XDN18"/>
      <c r="XDO18" s="10"/>
      <c r="XDP18" s="2"/>
      <c r="XDQ18"/>
      <c r="XDR18" s="5"/>
      <c r="XDS18" s="2"/>
      <c r="XDT18" s="7"/>
      <c r="XDU18"/>
      <c r="XDV18"/>
      <c r="XDW18" s="10"/>
      <c r="XDX18" s="2"/>
      <c r="XDY18"/>
      <c r="XDZ18" s="5"/>
      <c r="XEA18" s="2"/>
      <c r="XEB18" s="7"/>
      <c r="XEC18"/>
      <c r="XED18"/>
      <c r="XEE18" s="10"/>
      <c r="XEF18" s="2"/>
      <c r="XEG18"/>
      <c r="XEH18" s="5"/>
      <c r="XEI18" s="2"/>
      <c r="XEJ18" s="7"/>
      <c r="XEK18"/>
      <c r="XEL18"/>
      <c r="XEM18" s="10"/>
      <c r="XEN18" s="2"/>
      <c r="XEO18"/>
      <c r="XEP18" s="5"/>
      <c r="XEQ18" s="2"/>
      <c r="XER18" s="7"/>
      <c r="XES18"/>
      <c r="XET18"/>
      <c r="XEU18" s="10"/>
      <c r="XEV18" s="2"/>
      <c r="XEW18"/>
      <c r="XEX18" s="5"/>
      <c r="XEY18" s="2"/>
      <c r="XEZ18" s="7"/>
      <c r="XFA18"/>
      <c r="XFB18"/>
      <c r="XFC18" s="10"/>
    </row>
    <row r="19" spans="1:16383" x14ac:dyDescent="0.2">
      <c r="A19" s="2" t="s">
        <v>120</v>
      </c>
      <c r="B19" t="s">
        <v>82</v>
      </c>
      <c r="C19" s="5">
        <v>43837</v>
      </c>
      <c r="D19" s="2" t="s">
        <v>46</v>
      </c>
      <c r="E19" s="7">
        <v>13390039</v>
      </c>
      <c r="F19" s="20"/>
      <c r="G19" s="20"/>
      <c r="H19" s="53">
        <v>-1.59</v>
      </c>
      <c r="I19" s="19"/>
      <c r="J19" s="19"/>
      <c r="K19" s="61"/>
      <c r="L19" s="60"/>
      <c r="M19" s="45">
        <f>-0.08-1.51</f>
        <v>-1.59</v>
      </c>
    </row>
    <row r="20" spans="1:16383" x14ac:dyDescent="0.2">
      <c r="A20" s="2" t="s">
        <v>120</v>
      </c>
      <c r="B20" t="s">
        <v>82</v>
      </c>
      <c r="C20" s="5">
        <v>43837</v>
      </c>
      <c r="D20" s="2" t="s">
        <v>23</v>
      </c>
      <c r="E20" s="7"/>
      <c r="F20" s="20"/>
      <c r="G20" s="20"/>
      <c r="H20" s="53">
        <v>-2.5072000000000001</v>
      </c>
      <c r="I20" s="19"/>
      <c r="J20" s="19"/>
      <c r="K20" s="61"/>
      <c r="L20" s="60"/>
      <c r="M20" s="45">
        <v>-2.5072000000000001</v>
      </c>
    </row>
    <row r="21" spans="1:16383" x14ac:dyDescent="0.2">
      <c r="A21" s="2" t="s">
        <v>120</v>
      </c>
      <c r="B21" t="s">
        <v>82</v>
      </c>
      <c r="C21" s="5">
        <v>43837</v>
      </c>
      <c r="D21" s="2" t="s">
        <v>21</v>
      </c>
      <c r="E21" s="7"/>
      <c r="F21" s="20">
        <v>156514</v>
      </c>
      <c r="G21" s="20">
        <v>516425</v>
      </c>
      <c r="H21" s="53">
        <v>1.6981999999999999</v>
      </c>
      <c r="I21" s="19"/>
      <c r="J21" s="19"/>
      <c r="K21" s="61"/>
      <c r="L21" s="60"/>
      <c r="M21" s="45">
        <v>1.6981999999999999</v>
      </c>
    </row>
    <row r="22" spans="1:16383" x14ac:dyDescent="0.2">
      <c r="A22" s="2" t="s">
        <v>120</v>
      </c>
      <c r="B22" t="s">
        <v>82</v>
      </c>
      <c r="C22" s="5">
        <v>43887</v>
      </c>
      <c r="D22" s="2" t="s">
        <v>44</v>
      </c>
      <c r="E22" s="7">
        <v>14804</v>
      </c>
      <c r="F22" s="20"/>
      <c r="G22" s="20"/>
      <c r="H22" s="53">
        <v>-1.72</v>
      </c>
      <c r="I22" s="19"/>
      <c r="J22" s="19"/>
      <c r="K22" s="61"/>
      <c r="L22" s="60">
        <v>-912</v>
      </c>
      <c r="M22" s="50" t="s">
        <v>80</v>
      </c>
    </row>
    <row r="23" spans="1:16383" x14ac:dyDescent="0.2">
      <c r="A23" s="2" t="s">
        <v>120</v>
      </c>
      <c r="B23" t="s">
        <v>82</v>
      </c>
      <c r="C23" s="5">
        <v>43887</v>
      </c>
      <c r="D23" s="2" t="s">
        <v>46</v>
      </c>
      <c r="E23" s="7">
        <v>13390039</v>
      </c>
      <c r="F23" s="20"/>
      <c r="G23" s="20"/>
      <c r="H23" s="53">
        <v>-1.59</v>
      </c>
      <c r="I23" s="19"/>
      <c r="J23" s="19"/>
      <c r="K23" s="61"/>
      <c r="L23" s="60"/>
      <c r="M23" s="50" t="s">
        <v>80</v>
      </c>
    </row>
    <row r="24" spans="1:16383" x14ac:dyDescent="0.2">
      <c r="A24" s="2" t="s">
        <v>120</v>
      </c>
      <c r="B24" t="s">
        <v>82</v>
      </c>
      <c r="C24" s="5">
        <v>43887</v>
      </c>
      <c r="D24" s="2" t="s">
        <v>23</v>
      </c>
      <c r="E24" s="7"/>
      <c r="F24" s="20"/>
      <c r="G24" s="20"/>
      <c r="H24" s="53">
        <v>-2.5072000000000001</v>
      </c>
      <c r="I24" s="19"/>
      <c r="J24" s="19"/>
      <c r="K24" s="61"/>
      <c r="L24" s="60"/>
      <c r="M24" s="50" t="s">
        <v>80</v>
      </c>
    </row>
    <row r="25" spans="1:16383" x14ac:dyDescent="0.2">
      <c r="A25" s="2" t="s">
        <v>120</v>
      </c>
      <c r="B25" t="s">
        <v>82</v>
      </c>
      <c r="C25" s="5">
        <v>43887</v>
      </c>
      <c r="D25" s="2" t="s">
        <v>21</v>
      </c>
      <c r="E25" s="7"/>
      <c r="F25" s="20">
        <v>156514</v>
      </c>
      <c r="G25" s="20">
        <v>516425</v>
      </c>
      <c r="H25" s="53">
        <v>1.6947000000000001</v>
      </c>
      <c r="I25" s="19"/>
      <c r="J25" s="19"/>
      <c r="K25" s="61"/>
      <c r="L25" s="60"/>
      <c r="M25" s="45">
        <v>1.6947000000000001</v>
      </c>
    </row>
    <row r="26" spans="1:16383" x14ac:dyDescent="0.2">
      <c r="A26" s="2" t="s">
        <v>120</v>
      </c>
      <c r="B26" t="s">
        <v>82</v>
      </c>
      <c r="C26" s="5">
        <v>43913</v>
      </c>
      <c r="D26" s="2" t="s">
        <v>44</v>
      </c>
      <c r="E26" s="7">
        <v>14804</v>
      </c>
      <c r="F26" s="20"/>
      <c r="G26" s="20"/>
      <c r="H26" s="53">
        <v>-1.72</v>
      </c>
      <c r="I26" s="19"/>
      <c r="J26" s="19"/>
      <c r="K26" s="61"/>
      <c r="L26" s="60">
        <v>-912</v>
      </c>
      <c r="M26" s="45">
        <f>-0.0706-1.64</f>
        <v>-1.7105999999999999</v>
      </c>
    </row>
    <row r="27" spans="1:16383" x14ac:dyDescent="0.2">
      <c r="A27" s="2" t="s">
        <v>120</v>
      </c>
      <c r="B27" t="s">
        <v>82</v>
      </c>
      <c r="C27" s="5">
        <v>43913</v>
      </c>
      <c r="D27" s="2" t="s">
        <v>46</v>
      </c>
      <c r="E27" s="7">
        <v>13390039</v>
      </c>
      <c r="F27" s="20"/>
      <c r="G27" s="20"/>
      <c r="H27" s="53">
        <v>-1.59</v>
      </c>
      <c r="I27" s="19"/>
      <c r="J27" s="19"/>
      <c r="K27" s="61"/>
      <c r="L27" s="60"/>
      <c r="M27" s="45">
        <f>-0.0706-1.51</f>
        <v>-1.5806</v>
      </c>
    </row>
    <row r="28" spans="1:16383" x14ac:dyDescent="0.2">
      <c r="A28" s="2" t="s">
        <v>120</v>
      </c>
      <c r="B28" t="s">
        <v>82</v>
      </c>
      <c r="C28" s="5">
        <v>43913</v>
      </c>
      <c r="D28" s="2" t="s">
        <v>23</v>
      </c>
      <c r="E28" s="7"/>
      <c r="F28" s="20"/>
      <c r="G28" s="20"/>
      <c r="H28" s="53">
        <v>-2.5453999999999999</v>
      </c>
      <c r="I28" s="19"/>
      <c r="J28" s="19"/>
      <c r="K28" s="61"/>
      <c r="L28" s="60"/>
      <c r="M28" s="45">
        <v>-2.5453999999999999</v>
      </c>
    </row>
    <row r="29" spans="1:16383" x14ac:dyDescent="0.2">
      <c r="A29" s="2" t="s">
        <v>120</v>
      </c>
      <c r="B29" t="s">
        <v>82</v>
      </c>
      <c r="C29" s="5">
        <v>43913</v>
      </c>
      <c r="D29" s="2" t="s">
        <v>21</v>
      </c>
      <c r="E29" s="7"/>
      <c r="F29" s="20">
        <v>156514</v>
      </c>
      <c r="G29" s="20">
        <v>516425</v>
      </c>
      <c r="H29" s="53">
        <v>1.6930000000000001</v>
      </c>
      <c r="I29" s="19"/>
      <c r="J29" s="19"/>
      <c r="K29" s="61"/>
      <c r="L29" s="60"/>
      <c r="M29" s="45">
        <v>1.6930000000000001</v>
      </c>
    </row>
    <row r="30" spans="1:16383" x14ac:dyDescent="0.2">
      <c r="A30" s="2" t="s">
        <v>120</v>
      </c>
      <c r="B30" t="s">
        <v>82</v>
      </c>
      <c r="C30" s="5">
        <v>43942</v>
      </c>
      <c r="D30" s="2" t="s">
        <v>44</v>
      </c>
      <c r="E30" s="7">
        <v>14804</v>
      </c>
      <c r="F30" s="20"/>
      <c r="G30" s="20"/>
      <c r="H30" s="53">
        <v>-1.7486999999999999</v>
      </c>
      <c r="I30" s="19"/>
      <c r="J30" s="19"/>
      <c r="K30" s="61"/>
      <c r="L30" s="91">
        <f>-(912-5)</f>
        <v>-907</v>
      </c>
      <c r="M30" s="75" t="s">
        <v>123</v>
      </c>
    </row>
    <row r="31" spans="1:16383" x14ac:dyDescent="0.2">
      <c r="A31" s="2" t="s">
        <v>120</v>
      </c>
      <c r="B31" t="s">
        <v>82</v>
      </c>
      <c r="C31" s="5">
        <v>43942</v>
      </c>
      <c r="D31" s="2" t="s">
        <v>46</v>
      </c>
      <c r="E31" s="7">
        <v>13390039</v>
      </c>
      <c r="F31" s="20"/>
      <c r="G31" s="20"/>
      <c r="H31" s="53">
        <v>-1.59</v>
      </c>
      <c r="I31" s="19"/>
      <c r="J31" s="19"/>
      <c r="K31" s="61"/>
      <c r="L31" s="60"/>
      <c r="M31" s="45">
        <f>-0.1087-1.51</f>
        <v>-1.6187</v>
      </c>
    </row>
    <row r="32" spans="1:16383" x14ac:dyDescent="0.2">
      <c r="A32" s="2" t="s">
        <v>120</v>
      </c>
      <c r="B32" t="s">
        <v>82</v>
      </c>
      <c r="C32" s="5">
        <v>43942</v>
      </c>
      <c r="D32" s="2" t="s">
        <v>23</v>
      </c>
      <c r="E32" s="7"/>
      <c r="F32" s="20"/>
      <c r="G32" s="20"/>
      <c r="H32" s="53">
        <v>-2.5169000000000001</v>
      </c>
      <c r="I32" s="19"/>
      <c r="J32" s="19"/>
      <c r="K32" s="61"/>
      <c r="L32" s="60"/>
      <c r="M32" s="45">
        <v>-2.5169000000000001</v>
      </c>
    </row>
    <row r="33" spans="1:13" x14ac:dyDescent="0.2">
      <c r="A33" s="2" t="s">
        <v>120</v>
      </c>
      <c r="B33" t="s">
        <v>82</v>
      </c>
      <c r="C33" s="5">
        <v>43942</v>
      </c>
      <c r="D33" s="2" t="s">
        <v>21</v>
      </c>
      <c r="E33" s="7"/>
      <c r="F33" s="20">
        <v>156514</v>
      </c>
      <c r="G33" s="20">
        <v>516425</v>
      </c>
      <c r="H33" s="53">
        <v>1.6930000000000001</v>
      </c>
      <c r="I33" s="19"/>
      <c r="J33" s="19"/>
      <c r="K33" s="61"/>
      <c r="L33" s="60"/>
      <c r="M33" s="45">
        <v>1.6913</v>
      </c>
    </row>
    <row r="34" spans="1:13" x14ac:dyDescent="0.2">
      <c r="A34" s="2" t="s">
        <v>120</v>
      </c>
      <c r="B34" t="s">
        <v>82</v>
      </c>
      <c r="C34" s="5">
        <v>43971</v>
      </c>
      <c r="D34" s="2" t="s">
        <v>44</v>
      </c>
      <c r="E34" s="7">
        <v>14804</v>
      </c>
      <c r="F34" s="20"/>
      <c r="G34" s="20"/>
      <c r="H34" s="53">
        <v>-1.7486999999999999</v>
      </c>
      <c r="I34" s="19"/>
      <c r="J34" s="19"/>
      <c r="K34" s="61"/>
      <c r="L34" s="60">
        <f>-(912-5)</f>
        <v>-907</v>
      </c>
      <c r="M34" s="75">
        <f>-0.0916-1.64</f>
        <v>-1.7315999999999998</v>
      </c>
    </row>
    <row r="35" spans="1:13" x14ac:dyDescent="0.2">
      <c r="A35" s="2" t="s">
        <v>120</v>
      </c>
      <c r="B35" t="s">
        <v>82</v>
      </c>
      <c r="C35" s="5">
        <v>43971</v>
      </c>
      <c r="D35" s="2" t="s">
        <v>46</v>
      </c>
      <c r="E35" s="7">
        <v>13390039</v>
      </c>
      <c r="F35" s="20"/>
      <c r="G35" s="20"/>
      <c r="H35" s="53">
        <v>-1.59</v>
      </c>
      <c r="I35" s="19"/>
      <c r="J35" s="19"/>
      <c r="K35" s="61"/>
      <c r="L35" s="60"/>
      <c r="M35" s="45">
        <f>-0.0916-1.51</f>
        <v>-1.6015999999999999</v>
      </c>
    </row>
    <row r="36" spans="1:13" x14ac:dyDescent="0.2">
      <c r="A36" s="2" t="s">
        <v>120</v>
      </c>
      <c r="B36" t="s">
        <v>82</v>
      </c>
      <c r="C36" s="5">
        <v>43971</v>
      </c>
      <c r="D36" s="2" t="s">
        <v>23</v>
      </c>
      <c r="E36" s="7"/>
      <c r="F36" s="20"/>
      <c r="G36" s="20"/>
      <c r="H36" s="53">
        <v>-2.5158</v>
      </c>
      <c r="I36" s="19"/>
      <c r="J36" s="19"/>
      <c r="K36" s="61"/>
      <c r="L36" s="60"/>
      <c r="M36" s="45">
        <v>-2.5158</v>
      </c>
    </row>
    <row r="37" spans="1:13" x14ac:dyDescent="0.2">
      <c r="A37" s="2" t="s">
        <v>120</v>
      </c>
      <c r="B37" t="s">
        <v>82</v>
      </c>
      <c r="C37" s="5">
        <v>43971</v>
      </c>
      <c r="D37" s="2" t="s">
        <v>21</v>
      </c>
      <c r="E37" s="7"/>
      <c r="F37" s="20">
        <v>156514</v>
      </c>
      <c r="G37" s="20">
        <v>516425</v>
      </c>
      <c r="H37" s="53">
        <v>1.6930000000000001</v>
      </c>
      <c r="I37" s="19"/>
      <c r="J37" s="19"/>
      <c r="K37" s="61"/>
      <c r="L37" s="60"/>
      <c r="M37" s="45">
        <v>1.6886000000000001</v>
      </c>
    </row>
    <row r="38" spans="1:13" x14ac:dyDescent="0.2">
      <c r="A38" s="2" t="s">
        <v>120</v>
      </c>
      <c r="B38" t="s">
        <v>82</v>
      </c>
      <c r="C38" s="5">
        <v>43999</v>
      </c>
      <c r="D38" s="2" t="s">
        <v>44</v>
      </c>
      <c r="E38" s="7">
        <v>14804</v>
      </c>
      <c r="F38" s="20"/>
      <c r="G38" s="20"/>
      <c r="H38" s="53">
        <v>-1.7486999999999999</v>
      </c>
      <c r="I38" s="19"/>
      <c r="J38" s="19"/>
      <c r="K38" s="61"/>
      <c r="L38" s="60">
        <f>-(912-5)</f>
        <v>-907</v>
      </c>
      <c r="M38" s="75">
        <f>-0.1206-1.64</f>
        <v>-1.7605999999999999</v>
      </c>
    </row>
    <row r="39" spans="1:13" x14ac:dyDescent="0.2">
      <c r="A39" s="2" t="s">
        <v>120</v>
      </c>
      <c r="B39" t="s">
        <v>82</v>
      </c>
      <c r="C39" s="5">
        <v>43999</v>
      </c>
      <c r="D39" s="2" t="s">
        <v>46</v>
      </c>
      <c r="E39" s="7">
        <v>13390039</v>
      </c>
      <c r="F39" s="20"/>
      <c r="G39" s="20"/>
      <c r="H39" s="53">
        <f>-0.1206-1.51</f>
        <v>-1.6306</v>
      </c>
      <c r="I39" s="19"/>
      <c r="J39" s="19"/>
      <c r="K39" s="61"/>
      <c r="L39" s="60"/>
      <c r="M39" s="45">
        <f>-0.1206-1.51</f>
        <v>-1.6306</v>
      </c>
    </row>
    <row r="40" spans="1:13" x14ac:dyDescent="0.2">
      <c r="A40" s="2" t="s">
        <v>120</v>
      </c>
      <c r="B40" t="s">
        <v>82</v>
      </c>
      <c r="C40" s="5">
        <v>43999</v>
      </c>
      <c r="D40" s="2" t="s">
        <v>23</v>
      </c>
      <c r="E40" s="7"/>
      <c r="F40" s="20"/>
      <c r="G40" s="20"/>
      <c r="H40" s="53">
        <v>-2.5448</v>
      </c>
      <c r="I40" s="19"/>
      <c r="J40" s="19"/>
      <c r="K40" s="61"/>
      <c r="L40" s="60"/>
      <c r="M40" s="45">
        <v>-2.5448</v>
      </c>
    </row>
    <row r="41" spans="1:13" x14ac:dyDescent="0.2">
      <c r="A41" s="2" t="s">
        <v>120</v>
      </c>
      <c r="B41" t="s">
        <v>82</v>
      </c>
      <c r="C41" s="5">
        <v>43999</v>
      </c>
      <c r="D41" s="2" t="s">
        <v>21</v>
      </c>
      <c r="E41" s="7"/>
      <c r="F41" s="20">
        <v>156514</v>
      </c>
      <c r="G41" s="20">
        <v>516425</v>
      </c>
      <c r="H41" s="53">
        <v>1.6837</v>
      </c>
      <c r="I41" s="19"/>
      <c r="J41" s="19"/>
      <c r="K41" s="61"/>
      <c r="L41" s="60"/>
      <c r="M41" s="45">
        <v>1.6837</v>
      </c>
    </row>
    <row r="42" spans="1:13" x14ac:dyDescent="0.2">
      <c r="A42" s="2" t="s">
        <v>120</v>
      </c>
      <c r="B42" t="s">
        <v>82</v>
      </c>
      <c r="C42" s="5">
        <v>44025</v>
      </c>
      <c r="D42" s="2" t="s">
        <v>44</v>
      </c>
      <c r="E42" s="7">
        <v>14804</v>
      </c>
      <c r="F42" s="20"/>
      <c r="G42" s="20"/>
      <c r="H42" s="53">
        <v>-1.7486999999999999</v>
      </c>
      <c r="I42" s="19"/>
      <c r="J42" s="19"/>
      <c r="K42" s="61"/>
      <c r="L42" s="91">
        <v>-898</v>
      </c>
      <c r="M42" s="75">
        <f>-0.1048-1.64</f>
        <v>-1.7447999999999999</v>
      </c>
    </row>
    <row r="43" spans="1:13" x14ac:dyDescent="0.2">
      <c r="A43" s="2" t="s">
        <v>120</v>
      </c>
      <c r="B43" t="s">
        <v>82</v>
      </c>
      <c r="C43" s="5">
        <v>44025</v>
      </c>
      <c r="D43" s="2" t="s">
        <v>46</v>
      </c>
      <c r="E43" s="7">
        <v>13390039</v>
      </c>
      <c r="F43" s="20"/>
      <c r="G43" s="20"/>
      <c r="H43" s="53">
        <f>-0.1206-1.51</f>
        <v>-1.6306</v>
      </c>
      <c r="I43" s="19"/>
      <c r="J43" s="19"/>
      <c r="K43" s="61"/>
      <c r="L43" s="60"/>
      <c r="M43" s="45">
        <f>-0.1048-1.51</f>
        <v>-1.6148</v>
      </c>
    </row>
    <row r="44" spans="1:13" x14ac:dyDescent="0.2">
      <c r="A44" s="2" t="s">
        <v>120</v>
      </c>
      <c r="B44" t="s">
        <v>82</v>
      </c>
      <c r="C44" s="5">
        <v>44025</v>
      </c>
      <c r="D44" s="2" t="s">
        <v>23</v>
      </c>
      <c r="E44" s="7"/>
      <c r="F44" s="20"/>
      <c r="G44" s="20"/>
      <c r="H44" s="53">
        <v>-2.5171999999999999</v>
      </c>
      <c r="I44" s="19"/>
      <c r="J44" s="19"/>
      <c r="K44" s="61"/>
      <c r="L44" s="60"/>
      <c r="M44" s="45">
        <v>-2.5171999999999999</v>
      </c>
    </row>
    <row r="45" spans="1:13" x14ac:dyDescent="0.2">
      <c r="A45" s="2" t="s">
        <v>120</v>
      </c>
      <c r="B45" t="s">
        <v>82</v>
      </c>
      <c r="C45" s="5">
        <v>44025</v>
      </c>
      <c r="D45" s="2" t="s">
        <v>21</v>
      </c>
      <c r="E45" s="7"/>
      <c r="F45" s="20">
        <v>156514</v>
      </c>
      <c r="G45" s="20">
        <v>516425</v>
      </c>
      <c r="H45" s="53">
        <v>1.6628000000000001</v>
      </c>
      <c r="I45" s="19"/>
      <c r="J45" s="19"/>
      <c r="K45" s="61"/>
      <c r="L45" s="60"/>
      <c r="M45" s="45">
        <v>1.6628000000000001</v>
      </c>
    </row>
    <row r="46" spans="1:13" x14ac:dyDescent="0.2">
      <c r="A46" t="s">
        <v>120</v>
      </c>
      <c r="B46" t="s">
        <v>82</v>
      </c>
      <c r="C46" s="5">
        <v>44053</v>
      </c>
      <c r="D46" t="s">
        <v>44</v>
      </c>
      <c r="E46" s="7">
        <v>14804</v>
      </c>
      <c r="F46"/>
      <c r="G46"/>
      <c r="H46" s="53">
        <v>-1.7486999999999999</v>
      </c>
      <c r="I46" s="10"/>
      <c r="J46" s="10"/>
      <c r="K46" s="27"/>
      <c r="L46" s="60">
        <v>-898</v>
      </c>
      <c r="M46" s="51">
        <v>-1.73</v>
      </c>
    </row>
    <row r="47" spans="1:13" x14ac:dyDescent="0.2">
      <c r="A47" t="s">
        <v>120</v>
      </c>
      <c r="B47" t="s">
        <v>82</v>
      </c>
      <c r="C47" s="5">
        <v>44053</v>
      </c>
      <c r="D47" t="s">
        <v>46</v>
      </c>
      <c r="E47" s="7">
        <v>13390039</v>
      </c>
      <c r="F47"/>
      <c r="G47"/>
      <c r="H47" s="53">
        <f>-0.1206-1.51</f>
        <v>-1.6306</v>
      </c>
      <c r="I47" s="10"/>
      <c r="J47" s="10"/>
      <c r="K47" s="27"/>
      <c r="L47" s="60"/>
      <c r="M47" s="51">
        <v>-1.6</v>
      </c>
    </row>
    <row r="48" spans="1:13" x14ac:dyDescent="0.2">
      <c r="A48" t="s">
        <v>120</v>
      </c>
      <c r="B48" t="s">
        <v>82</v>
      </c>
      <c r="C48" s="5">
        <v>44053</v>
      </c>
      <c r="D48" t="s">
        <v>23</v>
      </c>
      <c r="E48" s="7"/>
      <c r="F48"/>
      <c r="G48"/>
      <c r="H48" s="53">
        <v>-2.5171999999999999</v>
      </c>
      <c r="I48" s="10"/>
      <c r="J48" s="10"/>
      <c r="K48" s="27"/>
      <c r="L48" s="60"/>
      <c r="M48" s="51" t="s">
        <v>124</v>
      </c>
    </row>
    <row r="49" spans="1:13" x14ac:dyDescent="0.2">
      <c r="A49" t="s">
        <v>120</v>
      </c>
      <c r="B49" t="s">
        <v>82</v>
      </c>
      <c r="C49" s="5">
        <v>44053</v>
      </c>
      <c r="D49" t="s">
        <v>21</v>
      </c>
      <c r="E49" s="7"/>
      <c r="F49">
        <v>156514</v>
      </c>
      <c r="G49">
        <v>516425</v>
      </c>
      <c r="H49" s="53">
        <v>1.6628000000000001</v>
      </c>
      <c r="I49" s="10"/>
      <c r="J49" s="10"/>
      <c r="K49" s="27"/>
      <c r="L49" s="60"/>
      <c r="M49" s="51">
        <v>1.68</v>
      </c>
    </row>
    <row r="50" spans="1:13" x14ac:dyDescent="0.2">
      <c r="A50" t="s">
        <v>120</v>
      </c>
      <c r="B50" t="s">
        <v>82</v>
      </c>
      <c r="C50" s="5">
        <v>44081</v>
      </c>
      <c r="D50" t="s">
        <v>44</v>
      </c>
      <c r="E50" s="7">
        <v>14804</v>
      </c>
      <c r="F50"/>
      <c r="G50"/>
      <c r="H50" s="53">
        <v>-1.7486999999999999</v>
      </c>
      <c r="I50" s="10"/>
      <c r="J50" s="10"/>
      <c r="K50" s="27"/>
      <c r="L50" s="91">
        <v>-904</v>
      </c>
      <c r="M50" s="51">
        <f>-0.1041-1.64</f>
        <v>-1.7441</v>
      </c>
    </row>
    <row r="51" spans="1:13" x14ac:dyDescent="0.2">
      <c r="A51" t="s">
        <v>120</v>
      </c>
      <c r="B51" t="s">
        <v>82</v>
      </c>
      <c r="C51" s="5">
        <v>44081</v>
      </c>
      <c r="D51" t="s">
        <v>46</v>
      </c>
      <c r="E51" s="7">
        <v>13390039</v>
      </c>
      <c r="F51"/>
      <c r="G51"/>
      <c r="H51" s="53">
        <f>-0.1206-1.51</f>
        <v>-1.6306</v>
      </c>
      <c r="I51" s="10"/>
      <c r="J51" s="10"/>
      <c r="K51" s="27"/>
      <c r="L51" s="60"/>
      <c r="M51" s="51">
        <f>-0.1041-1.51</f>
        <v>-1.6141000000000001</v>
      </c>
    </row>
    <row r="52" spans="1:13" x14ac:dyDescent="0.2">
      <c r="A52" t="s">
        <v>120</v>
      </c>
      <c r="B52" t="s">
        <v>82</v>
      </c>
      <c r="C52" s="5">
        <v>44081</v>
      </c>
      <c r="D52" t="s">
        <v>23</v>
      </c>
      <c r="E52" s="7"/>
      <c r="F52"/>
      <c r="G52"/>
      <c r="H52" s="53">
        <v>-2.5346000000000002</v>
      </c>
      <c r="I52" s="10"/>
      <c r="J52" s="10"/>
      <c r="K52" s="27"/>
      <c r="L52" s="60"/>
      <c r="M52" s="51">
        <v>-2.5346000000000002</v>
      </c>
    </row>
    <row r="53" spans="1:13" x14ac:dyDescent="0.2">
      <c r="A53" t="s">
        <v>120</v>
      </c>
      <c r="B53" t="s">
        <v>82</v>
      </c>
      <c r="C53" s="5">
        <v>44081</v>
      </c>
      <c r="D53" t="s">
        <v>21</v>
      </c>
      <c r="E53" s="7"/>
      <c r="F53">
        <v>156514</v>
      </c>
      <c r="G53">
        <v>516425</v>
      </c>
      <c r="H53" s="53">
        <v>1.6628000000000001</v>
      </c>
      <c r="I53" s="10"/>
      <c r="J53" s="10"/>
      <c r="K53" s="27"/>
      <c r="L53" s="60"/>
      <c r="M53" s="51">
        <v>1.6633</v>
      </c>
    </row>
    <row r="54" spans="1:13" x14ac:dyDescent="0.2">
      <c r="A54" t="s">
        <v>120</v>
      </c>
      <c r="B54" t="s">
        <v>82</v>
      </c>
      <c r="C54" s="5">
        <v>44139</v>
      </c>
      <c r="D54" t="s">
        <v>44</v>
      </c>
      <c r="E54" s="7">
        <v>14804</v>
      </c>
      <c r="F54"/>
      <c r="G54"/>
      <c r="H54" s="53">
        <v>-1.7346999999999999</v>
      </c>
      <c r="I54" s="10"/>
      <c r="J54" s="10"/>
      <c r="K54" s="27"/>
      <c r="L54" s="60">
        <v>-904</v>
      </c>
      <c r="M54" s="51">
        <f>-0.0947-1.64</f>
        <v>-1.7346999999999999</v>
      </c>
    </row>
    <row r="55" spans="1:13" x14ac:dyDescent="0.2">
      <c r="A55" t="s">
        <v>120</v>
      </c>
      <c r="B55" t="s">
        <v>82</v>
      </c>
      <c r="C55" s="5">
        <v>44139</v>
      </c>
      <c r="D55" t="s">
        <v>46</v>
      </c>
      <c r="E55" s="7">
        <v>13390039</v>
      </c>
      <c r="F55"/>
      <c r="G55"/>
      <c r="H55" s="53">
        <v>-1.6047</v>
      </c>
      <c r="I55" s="10"/>
      <c r="J55" s="10"/>
      <c r="K55" s="27"/>
      <c r="M55" s="51">
        <f>-0.0947-1.51</f>
        <v>-1.6047</v>
      </c>
    </row>
    <row r="56" spans="1:13" x14ac:dyDescent="0.2">
      <c r="A56" t="s">
        <v>120</v>
      </c>
      <c r="B56" t="s">
        <v>82</v>
      </c>
      <c r="C56" s="5">
        <v>44139</v>
      </c>
      <c r="D56" t="s">
        <v>23</v>
      </c>
      <c r="E56" s="7"/>
      <c r="F56"/>
      <c r="G56"/>
      <c r="H56" s="53">
        <v>-2.5346000000000002</v>
      </c>
      <c r="I56" s="10"/>
      <c r="J56" s="10"/>
      <c r="K56" s="27"/>
      <c r="M56" s="81" t="s">
        <v>80</v>
      </c>
    </row>
    <row r="57" spans="1:13" x14ac:dyDescent="0.2">
      <c r="A57" t="s">
        <v>120</v>
      </c>
      <c r="B57" t="s">
        <v>82</v>
      </c>
      <c r="C57" s="5">
        <v>44139</v>
      </c>
      <c r="D57" t="s">
        <v>21</v>
      </c>
      <c r="E57" s="7"/>
      <c r="F57">
        <v>156514</v>
      </c>
      <c r="G57">
        <v>516425</v>
      </c>
      <c r="H57" s="53">
        <v>1.6628000000000001</v>
      </c>
      <c r="I57" s="10"/>
      <c r="J57" s="10"/>
      <c r="K57" s="27"/>
      <c r="M57" s="51">
        <v>1.6640999999999999</v>
      </c>
    </row>
    <row r="58" spans="1:13" x14ac:dyDescent="0.2">
      <c r="A58" t="s">
        <v>120</v>
      </c>
      <c r="B58" t="s">
        <v>82</v>
      </c>
      <c r="C58" s="5">
        <v>44167</v>
      </c>
      <c r="D58" t="s">
        <v>44</v>
      </c>
      <c r="E58" s="7">
        <v>14804</v>
      </c>
      <c r="F58"/>
      <c r="G58"/>
      <c r="H58" s="53">
        <v>-1.7346999999999999</v>
      </c>
      <c r="I58" s="10"/>
      <c r="J58" s="10"/>
      <c r="K58" s="27"/>
      <c r="L58" s="91">
        <v>-909</v>
      </c>
      <c r="M58" s="51">
        <f>-0.0932-1.64</f>
        <v>-1.7331999999999999</v>
      </c>
    </row>
    <row r="59" spans="1:13" x14ac:dyDescent="0.2">
      <c r="A59" t="s">
        <v>120</v>
      </c>
      <c r="B59" t="s">
        <v>82</v>
      </c>
      <c r="C59" s="5">
        <v>44167</v>
      </c>
      <c r="D59" t="s">
        <v>46</v>
      </c>
      <c r="E59" s="7">
        <v>13390039</v>
      </c>
      <c r="F59"/>
      <c r="G59"/>
      <c r="H59" s="53">
        <v>-1.6047</v>
      </c>
      <c r="I59" s="10"/>
      <c r="J59" s="10"/>
      <c r="K59" s="27"/>
      <c r="M59" s="51">
        <f>-0.0932-1.51</f>
        <v>-1.6032</v>
      </c>
    </row>
    <row r="60" spans="1:13" x14ac:dyDescent="0.2">
      <c r="A60" t="s">
        <v>120</v>
      </c>
      <c r="B60" t="s">
        <v>82</v>
      </c>
      <c r="C60" s="5">
        <v>44167</v>
      </c>
      <c r="D60" t="s">
        <v>23</v>
      </c>
      <c r="E60" s="7"/>
      <c r="F60"/>
      <c r="G60"/>
      <c r="H60" s="53">
        <v>-2.4984999999999999</v>
      </c>
      <c r="I60" s="10"/>
      <c r="J60" s="10"/>
      <c r="K60" s="27"/>
      <c r="M60" s="81">
        <v>-2.4984999999999999</v>
      </c>
    </row>
    <row r="61" spans="1:13" x14ac:dyDescent="0.2">
      <c r="A61" t="s">
        <v>120</v>
      </c>
      <c r="B61" t="s">
        <v>82</v>
      </c>
      <c r="C61" s="5">
        <v>44167</v>
      </c>
      <c r="D61" t="s">
        <v>21</v>
      </c>
      <c r="E61" s="7"/>
      <c r="F61">
        <v>156514</v>
      </c>
      <c r="G61">
        <v>516425</v>
      </c>
      <c r="H61" s="53">
        <v>1.6628000000000001</v>
      </c>
      <c r="I61" s="10"/>
      <c r="J61" s="10"/>
      <c r="K61" s="27"/>
      <c r="M61" s="51">
        <v>1.6551</v>
      </c>
    </row>
    <row r="62" spans="1:13" x14ac:dyDescent="0.2">
      <c r="A62" t="s">
        <v>120</v>
      </c>
      <c r="B62" t="s">
        <v>82</v>
      </c>
      <c r="C62" s="5">
        <v>44222</v>
      </c>
      <c r="D62" t="s">
        <v>44</v>
      </c>
      <c r="E62" s="7">
        <v>14804</v>
      </c>
      <c r="F62"/>
      <c r="G62"/>
      <c r="H62" s="53">
        <v>-1.7346999999999999</v>
      </c>
      <c r="I62" s="10"/>
      <c r="J62" s="10"/>
      <c r="K62" s="27"/>
      <c r="L62" s="60">
        <v>-909</v>
      </c>
      <c r="M62" s="51">
        <f>-0.0842-1.64</f>
        <v>-1.7242</v>
      </c>
    </row>
    <row r="63" spans="1:13" x14ac:dyDescent="0.2">
      <c r="A63" t="s">
        <v>120</v>
      </c>
      <c r="B63" t="s">
        <v>82</v>
      </c>
      <c r="C63" s="5">
        <v>44222</v>
      </c>
      <c r="D63" t="s">
        <v>46</v>
      </c>
      <c r="E63" s="7">
        <v>13390039</v>
      </c>
      <c r="F63"/>
      <c r="G63"/>
      <c r="H63" s="53">
        <v>-1.6047</v>
      </c>
      <c r="I63" s="10"/>
      <c r="J63" s="10"/>
      <c r="K63" s="27"/>
      <c r="M63" s="51">
        <f>-0.0842-1.51</f>
        <v>-1.5942000000000001</v>
      </c>
    </row>
    <row r="64" spans="1:13" x14ac:dyDescent="0.2">
      <c r="A64" t="s">
        <v>120</v>
      </c>
      <c r="B64" t="s">
        <v>82</v>
      </c>
      <c r="C64" s="5">
        <v>44222</v>
      </c>
      <c r="D64" t="s">
        <v>23</v>
      </c>
      <c r="E64" s="7"/>
      <c r="F64"/>
      <c r="G64"/>
      <c r="H64" s="101">
        <v>-2.5388000000000002</v>
      </c>
      <c r="I64" s="10"/>
      <c r="J64" s="10"/>
      <c r="K64" s="27"/>
      <c r="M64" s="81">
        <v>-2.5388000000000002</v>
      </c>
    </row>
    <row r="65" spans="1:13" s="126" customFormat="1" ht="13.5" thickBot="1" x14ac:dyDescent="0.25">
      <c r="A65" s="118" t="s">
        <v>120</v>
      </c>
      <c r="B65" s="118" t="s">
        <v>82</v>
      </c>
      <c r="C65" s="129">
        <v>44222</v>
      </c>
      <c r="D65" s="118" t="s">
        <v>21</v>
      </c>
      <c r="E65" s="121"/>
      <c r="F65" s="118">
        <v>156514</v>
      </c>
      <c r="G65" s="118">
        <v>516425</v>
      </c>
      <c r="H65" s="122">
        <v>1.6157999999999999</v>
      </c>
      <c r="I65" s="123"/>
      <c r="J65" s="123"/>
      <c r="K65" s="131"/>
      <c r="L65" s="125"/>
      <c r="M65" s="164">
        <v>1.6157999999999999</v>
      </c>
    </row>
    <row r="66" spans="1:13" x14ac:dyDescent="0.2">
      <c r="A66" t="s">
        <v>120</v>
      </c>
      <c r="B66" t="s">
        <v>82</v>
      </c>
      <c r="C66" s="5">
        <v>44253</v>
      </c>
      <c r="D66" t="s">
        <v>44</v>
      </c>
      <c r="E66" s="7">
        <v>14804</v>
      </c>
      <c r="F66"/>
      <c r="G66"/>
      <c r="H66" s="37">
        <v>-1.8483000000000001</v>
      </c>
      <c r="I66" s="10"/>
      <c r="J66" s="10"/>
      <c r="K66" s="27"/>
      <c r="L66" s="91">
        <v>-899</v>
      </c>
      <c r="M66" s="51">
        <f>0.0467-0.95-0.945</f>
        <v>-1.8483000000000001</v>
      </c>
    </row>
    <row r="67" spans="1:13" x14ac:dyDescent="0.2">
      <c r="A67" t="s">
        <v>120</v>
      </c>
      <c r="B67" t="s">
        <v>82</v>
      </c>
      <c r="C67" s="5">
        <v>44253</v>
      </c>
      <c r="D67" t="s">
        <v>46</v>
      </c>
      <c r="E67" s="7">
        <v>13390039</v>
      </c>
      <c r="F67"/>
      <c r="G67"/>
      <c r="H67" s="37">
        <v>-1.7533000000000001</v>
      </c>
      <c r="I67" s="10"/>
      <c r="J67" s="10"/>
      <c r="K67" s="27"/>
      <c r="M67" s="51">
        <f>0.0467-1.7-0.1</f>
        <v>-1.7533000000000001</v>
      </c>
    </row>
    <row r="68" spans="1:13" x14ac:dyDescent="0.2">
      <c r="A68" t="s">
        <v>120</v>
      </c>
      <c r="B68" t="s">
        <v>82</v>
      </c>
      <c r="C68" s="5">
        <v>44253</v>
      </c>
      <c r="D68" t="s">
        <v>23</v>
      </c>
      <c r="E68" s="7"/>
      <c r="F68"/>
      <c r="G68"/>
      <c r="H68" s="101">
        <v>-2.4243000000000001</v>
      </c>
      <c r="I68" s="10"/>
      <c r="J68" s="10"/>
      <c r="K68" s="27"/>
      <c r="M68" s="81">
        <v>-2.4243000000000001</v>
      </c>
    </row>
    <row r="69" spans="1:13" x14ac:dyDescent="0.2">
      <c r="A69" t="s">
        <v>120</v>
      </c>
      <c r="B69" t="s">
        <v>82</v>
      </c>
      <c r="C69" s="5">
        <v>44253</v>
      </c>
      <c r="D69" t="s">
        <v>21</v>
      </c>
      <c r="E69" s="7"/>
      <c r="F69">
        <v>156514</v>
      </c>
      <c r="G69">
        <v>516427</v>
      </c>
      <c r="H69" s="37">
        <v>1.7732000000000001</v>
      </c>
      <c r="I69" s="10"/>
      <c r="J69" s="10"/>
      <c r="K69" s="27"/>
      <c r="M69" s="51">
        <v>1.7732000000000001</v>
      </c>
    </row>
    <row r="70" spans="1:13" x14ac:dyDescent="0.2">
      <c r="A70" t="s">
        <v>120</v>
      </c>
      <c r="B70" t="s">
        <v>82</v>
      </c>
      <c r="C70" s="5">
        <v>44284</v>
      </c>
      <c r="D70" t="s">
        <v>44</v>
      </c>
      <c r="E70" s="7">
        <v>14804</v>
      </c>
      <c r="F70"/>
      <c r="G70"/>
      <c r="H70" s="37">
        <f>0.01-0.95-0.945</f>
        <v>-1.8849999999999998</v>
      </c>
      <c r="I70" s="10"/>
      <c r="J70" s="10"/>
      <c r="K70" s="27"/>
      <c r="L70" s="91">
        <v>-899</v>
      </c>
      <c r="M70" s="51">
        <f>0.01-0.95-0.945</f>
        <v>-1.8849999999999998</v>
      </c>
    </row>
    <row r="71" spans="1:13" x14ac:dyDescent="0.2">
      <c r="A71" t="s">
        <v>120</v>
      </c>
      <c r="B71" t="s">
        <v>82</v>
      </c>
      <c r="C71" s="5">
        <v>44284</v>
      </c>
      <c r="D71" t="s">
        <v>46</v>
      </c>
      <c r="E71" s="7">
        <v>13390039</v>
      </c>
      <c r="F71"/>
      <c r="G71"/>
      <c r="H71" s="37">
        <f>0.01-1.7-0.1</f>
        <v>-1.79</v>
      </c>
      <c r="I71" s="10"/>
      <c r="J71" s="10"/>
      <c r="K71" s="27"/>
      <c r="M71" s="51">
        <f>0.01-1.7-0.1</f>
        <v>-1.79</v>
      </c>
    </row>
    <row r="72" spans="1:13" x14ac:dyDescent="0.2">
      <c r="A72" t="s">
        <v>120</v>
      </c>
      <c r="B72" t="s">
        <v>82</v>
      </c>
      <c r="C72" s="5">
        <v>44284</v>
      </c>
      <c r="D72" t="s">
        <v>23</v>
      </c>
      <c r="E72" s="7"/>
      <c r="F72"/>
      <c r="G72"/>
      <c r="H72" s="101">
        <v>-2.4243000000000001</v>
      </c>
      <c r="I72" s="10"/>
      <c r="J72" s="10"/>
      <c r="K72" s="27"/>
      <c r="M72" s="81">
        <v>-2.41</v>
      </c>
    </row>
    <row r="73" spans="1:13" x14ac:dyDescent="0.2">
      <c r="A73" t="s">
        <v>120</v>
      </c>
      <c r="B73" t="s">
        <v>82</v>
      </c>
      <c r="C73" s="5">
        <v>44284</v>
      </c>
      <c r="D73" t="s">
        <v>21</v>
      </c>
      <c r="E73" s="7"/>
      <c r="F73">
        <v>156514</v>
      </c>
      <c r="G73">
        <v>516427</v>
      </c>
      <c r="H73" s="37">
        <v>1.74</v>
      </c>
      <c r="I73" s="10"/>
      <c r="J73" s="10"/>
      <c r="K73" s="27"/>
      <c r="M73" s="51">
        <v>1.74</v>
      </c>
    </row>
    <row r="74" spans="1:13" x14ac:dyDescent="0.2">
      <c r="A74"/>
      <c r="B74"/>
      <c r="C74"/>
      <c r="D74"/>
      <c r="E74" s="7"/>
      <c r="F74"/>
      <c r="G74"/>
      <c r="H74" s="10"/>
      <c r="I74" s="10"/>
      <c r="J74" s="10"/>
      <c r="K74" s="27"/>
      <c r="M74" s="51"/>
    </row>
    <row r="75" spans="1:13" x14ac:dyDescent="0.2">
      <c r="A75"/>
      <c r="B75"/>
      <c r="C75"/>
      <c r="D75"/>
      <c r="E75" s="7"/>
      <c r="F75"/>
      <c r="G75"/>
      <c r="H75" s="10"/>
      <c r="I75" s="10"/>
      <c r="J75" s="10"/>
      <c r="K75" s="27"/>
      <c r="M75" s="51"/>
    </row>
    <row r="76" spans="1:13" x14ac:dyDescent="0.2">
      <c r="A76"/>
      <c r="B76"/>
      <c r="C76"/>
      <c r="D76"/>
      <c r="E76" s="7"/>
      <c r="F76"/>
      <c r="G76"/>
      <c r="H76" s="10"/>
      <c r="I76" s="10"/>
      <c r="J76" s="10"/>
      <c r="K76" s="27"/>
      <c r="M76" s="51"/>
    </row>
    <row r="77" spans="1:13" x14ac:dyDescent="0.2">
      <c r="A77"/>
      <c r="B77"/>
      <c r="C77"/>
      <c r="D77"/>
      <c r="E77" s="7"/>
      <c r="F77"/>
      <c r="G77"/>
      <c r="H77" s="10"/>
      <c r="I77" s="10"/>
      <c r="J77" s="10"/>
      <c r="K77" s="27"/>
      <c r="M77" s="51"/>
    </row>
    <row r="78" spans="1:13" x14ac:dyDescent="0.2">
      <c r="A78"/>
      <c r="B78"/>
      <c r="C78"/>
      <c r="D78"/>
      <c r="E78" s="7"/>
      <c r="F78"/>
      <c r="G78"/>
      <c r="H78" s="10"/>
      <c r="I78" s="10"/>
      <c r="J78" s="10"/>
      <c r="K78" s="27"/>
      <c r="M78" s="51"/>
    </row>
    <row r="79" spans="1:13" x14ac:dyDescent="0.2">
      <c r="A79"/>
      <c r="B79"/>
      <c r="C79"/>
      <c r="D79"/>
      <c r="E79" s="7"/>
      <c r="F79"/>
      <c r="G79"/>
      <c r="H79" s="10"/>
      <c r="I79" s="10"/>
      <c r="J79" s="10"/>
      <c r="K79" s="27"/>
      <c r="M79" s="51"/>
    </row>
    <row r="80" spans="1:13" x14ac:dyDescent="0.2">
      <c r="A80"/>
      <c r="B80"/>
      <c r="C80"/>
      <c r="D80"/>
      <c r="E80" s="7"/>
      <c r="F80"/>
      <c r="G80"/>
      <c r="H80" s="10"/>
      <c r="I80" s="10"/>
      <c r="J80" s="10"/>
      <c r="K80" s="27"/>
      <c r="M80" s="51"/>
    </row>
    <row r="81" spans="1:13" x14ac:dyDescent="0.2">
      <c r="A81"/>
      <c r="B81"/>
      <c r="C81"/>
      <c r="D81"/>
      <c r="E81" s="7"/>
      <c r="F81"/>
      <c r="G81"/>
      <c r="H81" s="10"/>
      <c r="I81" s="10"/>
      <c r="J81" s="10"/>
      <c r="K81" s="27"/>
      <c r="M81" s="51"/>
    </row>
    <row r="82" spans="1:13" ht="42.75" customHeight="1" x14ac:dyDescent="0.2">
      <c r="A82"/>
      <c r="B82"/>
      <c r="C82"/>
      <c r="D82"/>
      <c r="E82" s="7"/>
      <c r="F82"/>
      <c r="G82"/>
      <c r="H82" s="10"/>
      <c r="I82" s="10"/>
      <c r="J82" s="10"/>
      <c r="K82" s="27"/>
      <c r="M82" s="51"/>
    </row>
    <row r="83" spans="1:13" x14ac:dyDescent="0.2">
      <c r="A83"/>
      <c r="B83"/>
      <c r="C83"/>
      <c r="D83"/>
      <c r="E83" s="7"/>
      <c r="F83"/>
      <c r="G83"/>
      <c r="H83" s="10"/>
      <c r="I83" s="10"/>
      <c r="J83" s="10"/>
      <c r="K83" s="27"/>
      <c r="M83" s="51"/>
    </row>
    <row r="84" spans="1:13" ht="12.75" customHeight="1" x14ac:dyDescent="0.2">
      <c r="A84"/>
      <c r="B84"/>
      <c r="C84"/>
      <c r="D84"/>
      <c r="E84" s="7"/>
      <c r="F84"/>
      <c r="G84"/>
      <c r="H84" s="10"/>
      <c r="I84" s="10"/>
      <c r="J84" s="10"/>
      <c r="K84" s="27"/>
      <c r="M84" s="51"/>
    </row>
    <row r="85" spans="1:13" ht="12.75" customHeight="1" x14ac:dyDescent="0.2">
      <c r="A85"/>
      <c r="B85"/>
      <c r="C85"/>
      <c r="D85"/>
      <c r="E85" s="7"/>
      <c r="F85"/>
      <c r="G85"/>
      <c r="H85" s="10"/>
      <c r="I85" s="10"/>
      <c r="J85" s="10"/>
      <c r="K85" s="27"/>
      <c r="M85" s="51"/>
    </row>
    <row r="86" spans="1:13" x14ac:dyDescent="0.2">
      <c r="A86"/>
      <c r="B86"/>
      <c r="C86"/>
      <c r="D86"/>
      <c r="E86" s="7"/>
      <c r="F86"/>
      <c r="G86"/>
      <c r="H86" s="10"/>
      <c r="I86" s="10"/>
      <c r="J86" s="10"/>
      <c r="K86" s="27"/>
      <c r="M86" s="51"/>
    </row>
    <row r="87" spans="1:13" x14ac:dyDescent="0.2">
      <c r="A87"/>
      <c r="B87"/>
      <c r="C87"/>
      <c r="D87"/>
      <c r="E87" s="7"/>
      <c r="F87"/>
      <c r="G87"/>
      <c r="H87" s="10"/>
      <c r="I87" s="10"/>
      <c r="J87" s="10"/>
      <c r="K87" s="27"/>
      <c r="M87" s="51"/>
    </row>
    <row r="88" spans="1:13" x14ac:dyDescent="0.2">
      <c r="A88"/>
      <c r="B88"/>
      <c r="C88"/>
      <c r="D88"/>
      <c r="E88" s="7"/>
      <c r="F88"/>
      <c r="G88"/>
      <c r="H88" s="10"/>
      <c r="I88" s="10"/>
      <c r="J88" s="10"/>
      <c r="K88" s="27"/>
      <c r="M88" s="51"/>
    </row>
    <row r="89" spans="1:13" x14ac:dyDescent="0.2">
      <c r="A89"/>
      <c r="B89"/>
      <c r="C89"/>
      <c r="D89"/>
      <c r="E89" s="7"/>
      <c r="F89"/>
      <c r="G89"/>
      <c r="H89" s="10"/>
      <c r="I89" s="10"/>
      <c r="J89" s="10"/>
      <c r="K89" s="27"/>
      <c r="M89" s="51"/>
    </row>
    <row r="90" spans="1:13" x14ac:dyDescent="0.2">
      <c r="A90"/>
      <c r="B90"/>
      <c r="C90"/>
      <c r="D90"/>
      <c r="E90" s="7"/>
      <c r="F90"/>
      <c r="G90"/>
      <c r="H90" s="10"/>
      <c r="I90" s="10"/>
      <c r="J90" s="10"/>
      <c r="K90" s="27"/>
      <c r="M90" s="51"/>
    </row>
    <row r="91" spans="1:13" x14ac:dyDescent="0.2">
      <c r="A91"/>
      <c r="B91"/>
      <c r="C91"/>
      <c r="D91"/>
      <c r="E91" s="7"/>
      <c r="F91"/>
      <c r="G91"/>
      <c r="H91" s="10"/>
      <c r="I91" s="10"/>
      <c r="J91" s="10"/>
      <c r="K91" s="27"/>
      <c r="M91" s="51"/>
    </row>
    <row r="92" spans="1:13" x14ac:dyDescent="0.2">
      <c r="A92"/>
      <c r="B92"/>
      <c r="C92"/>
      <c r="D92"/>
      <c r="E92" s="7"/>
      <c r="F92"/>
      <c r="G92"/>
      <c r="H92" s="10"/>
      <c r="I92" s="10"/>
      <c r="J92" s="10"/>
      <c r="K92" s="27"/>
      <c r="M92" s="51"/>
    </row>
    <row r="93" spans="1:13" x14ac:dyDescent="0.2">
      <c r="A93"/>
      <c r="B93"/>
      <c r="C93"/>
      <c r="D93"/>
      <c r="E93" s="7"/>
      <c r="F93"/>
      <c r="G93"/>
      <c r="H93" s="10"/>
      <c r="I93" s="10"/>
      <c r="J93" s="10"/>
      <c r="K93" s="27"/>
      <c r="M93" s="51"/>
    </row>
    <row r="94" spans="1:13" x14ac:dyDescent="0.2">
      <c r="A94"/>
      <c r="B94"/>
      <c r="C94"/>
      <c r="D94"/>
      <c r="E94" s="7"/>
      <c r="F94"/>
      <c r="G94"/>
      <c r="H94" s="10"/>
      <c r="I94" s="10"/>
      <c r="J94" s="10"/>
      <c r="K94" s="27"/>
      <c r="M94" s="51"/>
    </row>
    <row r="95" spans="1:13" x14ac:dyDescent="0.2">
      <c r="A95"/>
      <c r="B95"/>
      <c r="C95"/>
      <c r="D95"/>
      <c r="E95" s="7"/>
      <c r="F95"/>
      <c r="G95"/>
      <c r="H95" s="10"/>
      <c r="I95" s="10"/>
      <c r="J95" s="10"/>
      <c r="K95" s="27"/>
      <c r="M95" s="51"/>
    </row>
    <row r="96" spans="1:13" x14ac:dyDescent="0.2">
      <c r="A96"/>
      <c r="B96"/>
      <c r="C96"/>
      <c r="D96"/>
      <c r="E96" s="7"/>
      <c r="F96"/>
      <c r="G96"/>
      <c r="H96" s="10"/>
      <c r="I96" s="10"/>
      <c r="J96" s="10"/>
      <c r="K96" s="27"/>
      <c r="M96" s="51"/>
    </row>
    <row r="97" spans="1:13" x14ac:dyDescent="0.2">
      <c r="A97"/>
      <c r="B97"/>
      <c r="C97"/>
      <c r="D97"/>
      <c r="E97" s="7"/>
      <c r="F97"/>
      <c r="G97"/>
      <c r="H97" s="10"/>
      <c r="I97" s="10"/>
      <c r="J97" s="10"/>
      <c r="K97" s="27"/>
      <c r="M97" s="51"/>
    </row>
    <row r="98" spans="1:13" x14ac:dyDescent="0.2">
      <c r="A98"/>
      <c r="B98"/>
      <c r="C98"/>
      <c r="D98"/>
      <c r="E98" s="7"/>
      <c r="F98"/>
      <c r="G98"/>
      <c r="H98" s="10"/>
      <c r="I98" s="10"/>
      <c r="J98" s="10"/>
      <c r="K98" s="27"/>
      <c r="M98" s="51"/>
    </row>
    <row r="99" spans="1:13" x14ac:dyDescent="0.2">
      <c r="A99"/>
      <c r="B99"/>
      <c r="C99"/>
      <c r="D99"/>
      <c r="E99" s="7"/>
      <c r="F99"/>
      <c r="G99"/>
      <c r="H99" s="10"/>
      <c r="I99" s="10"/>
      <c r="J99" s="10"/>
      <c r="K99" s="27"/>
      <c r="M99" s="51"/>
    </row>
    <row r="100" spans="1:13" x14ac:dyDescent="0.2">
      <c r="A100"/>
      <c r="B100"/>
      <c r="C100"/>
      <c r="D100"/>
      <c r="E100" s="7"/>
      <c r="F100"/>
      <c r="G100"/>
      <c r="H100" s="10"/>
      <c r="I100" s="10"/>
      <c r="J100" s="10"/>
      <c r="K100" s="27"/>
      <c r="M100" s="51"/>
    </row>
    <row r="101" spans="1:13" x14ac:dyDescent="0.2">
      <c r="A101"/>
      <c r="B101"/>
      <c r="C101"/>
      <c r="D101"/>
      <c r="E101" s="7"/>
      <c r="F101"/>
      <c r="G101"/>
      <c r="H101" s="10"/>
      <c r="I101" s="10"/>
      <c r="J101" s="10"/>
      <c r="K101" s="27"/>
      <c r="M101" s="51"/>
    </row>
    <row r="102" spans="1:13" x14ac:dyDescent="0.2">
      <c r="A102"/>
      <c r="B102"/>
      <c r="C102"/>
      <c r="D102"/>
      <c r="E102" s="7"/>
      <c r="F102"/>
      <c r="G102"/>
      <c r="H102" s="10"/>
      <c r="I102" s="10"/>
      <c r="J102" s="10"/>
      <c r="K102" s="27"/>
      <c r="M102" s="51"/>
    </row>
    <row r="103" spans="1:13" x14ac:dyDescent="0.2">
      <c r="A103"/>
      <c r="B103"/>
      <c r="C103"/>
      <c r="D103"/>
      <c r="E103" s="7"/>
      <c r="F103"/>
      <c r="G103"/>
      <c r="H103" s="10"/>
      <c r="I103" s="10"/>
      <c r="J103" s="10"/>
      <c r="K103" s="27"/>
      <c r="M103" s="51"/>
    </row>
    <row r="104" spans="1:13" x14ac:dyDescent="0.2">
      <c r="A104"/>
      <c r="B104"/>
      <c r="C104"/>
      <c r="D104"/>
      <c r="E104" s="7"/>
      <c r="F104"/>
      <c r="G104"/>
      <c r="H104" s="10"/>
      <c r="I104" s="10"/>
      <c r="J104" s="10"/>
      <c r="K104" s="27"/>
      <c r="M104" s="51"/>
    </row>
    <row r="105" spans="1:13" x14ac:dyDescent="0.2">
      <c r="A105"/>
      <c r="B105"/>
      <c r="C105"/>
      <c r="D105"/>
      <c r="E105" s="7"/>
      <c r="F105"/>
      <c r="G105"/>
      <c r="H105" s="10"/>
      <c r="I105" s="10"/>
      <c r="J105" s="10"/>
      <c r="K105" s="27"/>
      <c r="M105" s="51"/>
    </row>
    <row r="106" spans="1:13" x14ac:dyDescent="0.2">
      <c r="A106"/>
      <c r="B106"/>
      <c r="C106"/>
      <c r="D106"/>
      <c r="E106" s="7"/>
      <c r="F106"/>
      <c r="G106"/>
      <c r="H106" s="10"/>
      <c r="I106" s="10"/>
      <c r="J106" s="10"/>
      <c r="K106" s="27"/>
      <c r="M106" s="51"/>
    </row>
    <row r="107" spans="1:13" x14ac:dyDescent="0.2">
      <c r="A107"/>
      <c r="B107"/>
      <c r="C107"/>
      <c r="D107"/>
      <c r="E107" s="7"/>
      <c r="F107"/>
      <c r="G107"/>
      <c r="H107" s="10"/>
      <c r="I107" s="10"/>
      <c r="J107" s="10"/>
      <c r="K107" s="27"/>
      <c r="M107" s="51"/>
    </row>
    <row r="108" spans="1:13" x14ac:dyDescent="0.2">
      <c r="A108"/>
      <c r="B108"/>
      <c r="C108"/>
      <c r="D108"/>
      <c r="E108" s="7"/>
      <c r="F108"/>
      <c r="G108"/>
      <c r="H108" s="10"/>
      <c r="I108" s="10"/>
      <c r="J108" s="10"/>
      <c r="K108" s="27"/>
      <c r="M108" s="51"/>
    </row>
    <row r="109" spans="1:13" x14ac:dyDescent="0.2">
      <c r="A109"/>
      <c r="B109"/>
      <c r="C109"/>
      <c r="D109"/>
      <c r="E109" s="7"/>
      <c r="F109"/>
      <c r="G109"/>
      <c r="H109" s="10"/>
      <c r="I109" s="10"/>
      <c r="J109" s="10"/>
      <c r="K109" s="27"/>
      <c r="M109" s="51"/>
    </row>
    <row r="110" spans="1:13" x14ac:dyDescent="0.2">
      <c r="A110"/>
      <c r="B110"/>
      <c r="C110"/>
      <c r="D110"/>
      <c r="E110" s="7"/>
      <c r="F110"/>
      <c r="G110"/>
      <c r="H110" s="10"/>
      <c r="I110" s="10"/>
      <c r="J110" s="10"/>
      <c r="K110" s="27"/>
      <c r="M110" s="51"/>
    </row>
    <row r="111" spans="1:13" x14ac:dyDescent="0.2">
      <c r="A111"/>
      <c r="B111"/>
      <c r="C111"/>
      <c r="D111"/>
      <c r="E111" s="7"/>
      <c r="F111"/>
      <c r="G111"/>
      <c r="H111" s="10"/>
      <c r="I111" s="10"/>
      <c r="J111" s="10"/>
      <c r="K111" s="27"/>
      <c r="M111" s="51"/>
    </row>
    <row r="112" spans="1:13" x14ac:dyDescent="0.2">
      <c r="A112"/>
      <c r="B112"/>
      <c r="C112"/>
      <c r="D112"/>
      <c r="E112" s="7"/>
      <c r="F112"/>
      <c r="G112"/>
      <c r="H112" s="10"/>
      <c r="I112" s="10"/>
      <c r="J112" s="10"/>
      <c r="K112" s="27"/>
      <c r="M112" s="51"/>
    </row>
    <row r="113" spans="1:13" x14ac:dyDescent="0.2">
      <c r="A113"/>
      <c r="B113"/>
      <c r="C113"/>
      <c r="D113"/>
      <c r="E113" s="7"/>
      <c r="F113"/>
      <c r="G113"/>
      <c r="H113" s="10"/>
      <c r="I113" s="10"/>
      <c r="J113" s="10"/>
      <c r="K113" s="27"/>
      <c r="M113" s="51"/>
    </row>
    <row r="114" spans="1:13" x14ac:dyDescent="0.2">
      <c r="A114"/>
      <c r="B114"/>
      <c r="C114"/>
      <c r="D114"/>
      <c r="E114" s="7"/>
      <c r="F114"/>
      <c r="G114"/>
      <c r="H114" s="10"/>
      <c r="I114" s="10"/>
      <c r="J114" s="10"/>
      <c r="K114" s="27"/>
      <c r="M114" s="51"/>
    </row>
    <row r="115" spans="1:13" x14ac:dyDescent="0.2">
      <c r="A115"/>
      <c r="B115"/>
      <c r="C115"/>
      <c r="D115"/>
      <c r="E115" s="7"/>
      <c r="F115"/>
      <c r="G115"/>
      <c r="H115" s="10"/>
      <c r="I115" s="10"/>
      <c r="J115" s="10"/>
      <c r="K115" s="27"/>
      <c r="M115" s="51"/>
    </row>
    <row r="116" spans="1:13" x14ac:dyDescent="0.2">
      <c r="A116"/>
      <c r="B116"/>
      <c r="C116"/>
      <c r="D116"/>
      <c r="E116" s="7"/>
      <c r="F116"/>
      <c r="G116"/>
      <c r="H116" s="10"/>
      <c r="I116" s="10"/>
      <c r="J116" s="10"/>
      <c r="K116" s="27"/>
      <c r="M116" s="51"/>
    </row>
    <row r="117" spans="1:13" x14ac:dyDescent="0.2">
      <c r="A117"/>
      <c r="B117"/>
      <c r="C117"/>
      <c r="D117"/>
      <c r="E117" s="7"/>
      <c r="F117"/>
      <c r="G117"/>
      <c r="H117" s="10"/>
      <c r="I117" s="10"/>
      <c r="J117" s="10"/>
      <c r="K117" s="27"/>
      <c r="M117" s="51"/>
    </row>
    <row r="118" spans="1:13" x14ac:dyDescent="0.2">
      <c r="A118"/>
      <c r="B118"/>
      <c r="C118"/>
      <c r="D118"/>
      <c r="E118" s="7"/>
      <c r="F118"/>
      <c r="G118"/>
      <c r="H118" s="10"/>
      <c r="I118" s="10"/>
      <c r="J118" s="10"/>
      <c r="K118" s="27"/>
      <c r="M118" s="51"/>
    </row>
    <row r="119" spans="1:13" x14ac:dyDescent="0.2">
      <c r="A119"/>
      <c r="B119"/>
      <c r="C119"/>
      <c r="D119"/>
      <c r="E119" s="7"/>
      <c r="F119"/>
      <c r="G119"/>
      <c r="H119" s="10"/>
      <c r="I119" s="10"/>
      <c r="J119" s="10"/>
      <c r="K119" s="27"/>
      <c r="M119" s="51"/>
    </row>
    <row r="120" spans="1:13" x14ac:dyDescent="0.2">
      <c r="A120"/>
      <c r="B120"/>
      <c r="C120"/>
      <c r="D120"/>
      <c r="E120" s="7"/>
      <c r="F120"/>
      <c r="G120"/>
      <c r="H120" s="10"/>
      <c r="I120" s="10"/>
      <c r="J120" s="10"/>
      <c r="K120" s="27"/>
      <c r="M120" s="51"/>
    </row>
    <row r="121" spans="1:13" x14ac:dyDescent="0.2">
      <c r="A121"/>
      <c r="B121"/>
      <c r="C121"/>
      <c r="D121"/>
      <c r="E121" s="7"/>
      <c r="F121"/>
      <c r="G121"/>
      <c r="H121" s="10"/>
      <c r="I121" s="10"/>
      <c r="J121" s="10"/>
      <c r="K121" s="27"/>
      <c r="M121" s="51"/>
    </row>
    <row r="122" spans="1:13" x14ac:dyDescent="0.2">
      <c r="A122"/>
      <c r="B122"/>
      <c r="C122"/>
      <c r="D122"/>
      <c r="E122" s="7"/>
      <c r="F122"/>
      <c r="G122"/>
      <c r="H122" s="10"/>
      <c r="I122" s="10"/>
      <c r="J122" s="10"/>
      <c r="K122" s="27"/>
      <c r="M122" s="51"/>
    </row>
    <row r="123" spans="1:13" x14ac:dyDescent="0.2">
      <c r="A123"/>
      <c r="B123"/>
      <c r="C123"/>
      <c r="D123"/>
      <c r="E123" s="7"/>
      <c r="F123"/>
      <c r="G123"/>
      <c r="H123" s="10"/>
      <c r="I123" s="10"/>
      <c r="J123" s="10"/>
      <c r="K123" s="27"/>
      <c r="M123" s="51"/>
    </row>
    <row r="124" spans="1:13" x14ac:dyDescent="0.2">
      <c r="A124"/>
      <c r="B124"/>
      <c r="C124"/>
      <c r="D124"/>
      <c r="E124" s="7"/>
      <c r="F124"/>
      <c r="G124"/>
      <c r="H124" s="10"/>
      <c r="I124" s="10"/>
      <c r="J124" s="10"/>
      <c r="K124" s="27"/>
      <c r="M124" s="51"/>
    </row>
    <row r="125" spans="1:13" x14ac:dyDescent="0.2">
      <c r="A125"/>
      <c r="B125"/>
      <c r="C125"/>
      <c r="D125"/>
      <c r="E125" s="7"/>
      <c r="F125"/>
      <c r="G125"/>
      <c r="H125" s="10"/>
      <c r="I125" s="10"/>
      <c r="J125" s="10"/>
      <c r="K125" s="27"/>
      <c r="M125" s="51"/>
    </row>
    <row r="126" spans="1:13" x14ac:dyDescent="0.2">
      <c r="A126"/>
      <c r="B126"/>
      <c r="C126"/>
      <c r="D126"/>
      <c r="E126" s="7"/>
      <c r="F126"/>
      <c r="G126"/>
      <c r="H126" s="10"/>
      <c r="I126" s="10"/>
      <c r="J126" s="10"/>
      <c r="K126" s="27"/>
      <c r="M126" s="51"/>
    </row>
    <row r="127" spans="1:13" x14ac:dyDescent="0.2">
      <c r="A127"/>
      <c r="B127"/>
      <c r="C127"/>
      <c r="D127"/>
      <c r="E127" s="7"/>
      <c r="F127"/>
      <c r="G127"/>
      <c r="H127" s="10"/>
      <c r="I127" s="10"/>
      <c r="J127" s="10"/>
      <c r="K127" s="27"/>
      <c r="M127" s="51"/>
    </row>
    <row r="128" spans="1:13" x14ac:dyDescent="0.2">
      <c r="A128"/>
      <c r="B128"/>
      <c r="C128"/>
      <c r="D128"/>
      <c r="E128" s="7"/>
      <c r="F128"/>
      <c r="G128"/>
      <c r="H128" s="10"/>
      <c r="I128" s="10"/>
      <c r="J128" s="10"/>
      <c r="K128" s="27"/>
      <c r="M128" s="51"/>
    </row>
    <row r="129" spans="1:13" x14ac:dyDescent="0.2">
      <c r="A129"/>
      <c r="B129"/>
      <c r="C129"/>
      <c r="D129"/>
      <c r="E129" s="7"/>
      <c r="F129"/>
      <c r="G129"/>
      <c r="H129" s="10"/>
      <c r="I129" s="10"/>
      <c r="J129" s="10"/>
      <c r="K129" s="27"/>
      <c r="M129" s="51"/>
    </row>
    <row r="130" spans="1:13" x14ac:dyDescent="0.2">
      <c r="A130"/>
      <c r="B130"/>
      <c r="C130"/>
      <c r="D130"/>
      <c r="E130" s="7"/>
      <c r="F130"/>
      <c r="G130"/>
      <c r="H130" s="10"/>
      <c r="I130" s="10"/>
      <c r="J130" s="10"/>
      <c r="K130" s="27"/>
      <c r="M130" s="51"/>
    </row>
    <row r="131" spans="1:13" x14ac:dyDescent="0.2">
      <c r="A131"/>
      <c r="B131"/>
      <c r="C131"/>
      <c r="D131"/>
      <c r="E131" s="7"/>
      <c r="F131"/>
      <c r="G131"/>
      <c r="H131" s="10"/>
      <c r="I131" s="10"/>
      <c r="J131" s="10"/>
      <c r="K131" s="27"/>
      <c r="M131" s="51"/>
    </row>
    <row r="132" spans="1:13" x14ac:dyDescent="0.2">
      <c r="A132"/>
      <c r="B132"/>
      <c r="C132"/>
      <c r="D132"/>
      <c r="E132" s="7"/>
      <c r="F132"/>
      <c r="G132"/>
      <c r="H132" s="10"/>
      <c r="I132" s="10"/>
      <c r="J132" s="10"/>
      <c r="K132" s="27"/>
      <c r="M132" s="51"/>
    </row>
    <row r="133" spans="1:13" x14ac:dyDescent="0.2">
      <c r="A133"/>
      <c r="B133"/>
      <c r="C133"/>
      <c r="D133"/>
      <c r="E133" s="7"/>
      <c r="F133"/>
      <c r="G133"/>
      <c r="H133" s="10"/>
      <c r="I133" s="10"/>
      <c r="J133" s="10"/>
      <c r="K133" s="27"/>
      <c r="M133" s="51"/>
    </row>
    <row r="134" spans="1:13" x14ac:dyDescent="0.2">
      <c r="A134"/>
      <c r="B134"/>
      <c r="C134"/>
      <c r="D134"/>
      <c r="E134" s="7"/>
      <c r="F134"/>
      <c r="G134"/>
      <c r="H134" s="10"/>
      <c r="I134" s="10"/>
      <c r="J134" s="10"/>
      <c r="K134" s="27"/>
      <c r="M134" s="51"/>
    </row>
    <row r="135" spans="1:13" x14ac:dyDescent="0.2">
      <c r="A135"/>
      <c r="B135"/>
      <c r="C135"/>
      <c r="D135"/>
      <c r="E135" s="7"/>
      <c r="F135"/>
      <c r="G135"/>
      <c r="H135" s="10"/>
      <c r="I135" s="10"/>
      <c r="J135" s="10"/>
      <c r="K135" s="27"/>
      <c r="M135" s="51"/>
    </row>
    <row r="136" spans="1:13" x14ac:dyDescent="0.2">
      <c r="A136"/>
      <c r="B136"/>
      <c r="C136"/>
      <c r="D136"/>
      <c r="E136" s="7"/>
      <c r="F136"/>
      <c r="G136"/>
      <c r="H136" s="10"/>
      <c r="I136" s="10"/>
      <c r="J136" s="10"/>
      <c r="K136" s="27"/>
      <c r="M136" s="51"/>
    </row>
    <row r="137" spans="1:13" x14ac:dyDescent="0.2">
      <c r="A137"/>
      <c r="B137"/>
      <c r="C137"/>
      <c r="D137"/>
      <c r="E137" s="7"/>
      <c r="F137"/>
      <c r="G137"/>
      <c r="H137" s="10"/>
      <c r="I137" s="10"/>
      <c r="J137" s="10"/>
      <c r="K137" s="27"/>
      <c r="M137" s="51"/>
    </row>
    <row r="138" spans="1:13" x14ac:dyDescent="0.2">
      <c r="A138"/>
      <c r="B138"/>
      <c r="C138"/>
      <c r="D138"/>
      <c r="E138" s="7"/>
      <c r="F138"/>
      <c r="G138"/>
      <c r="H138" s="10"/>
      <c r="I138" s="10"/>
      <c r="J138" s="10"/>
      <c r="K138" s="27"/>
      <c r="M138" s="51"/>
    </row>
    <row r="139" spans="1:13" x14ac:dyDescent="0.2">
      <c r="A139"/>
      <c r="B139"/>
      <c r="C139"/>
      <c r="D139"/>
      <c r="E139" s="7"/>
      <c r="F139"/>
      <c r="G139"/>
      <c r="H139" s="10"/>
      <c r="I139" s="10"/>
      <c r="J139" s="10"/>
      <c r="K139" s="27"/>
      <c r="M139" s="51"/>
    </row>
    <row r="140" spans="1:13" x14ac:dyDescent="0.2">
      <c r="A140"/>
      <c r="B140"/>
      <c r="C140"/>
      <c r="D140"/>
      <c r="E140" s="7"/>
      <c r="F140"/>
      <c r="G140"/>
      <c r="H140" s="10"/>
      <c r="I140" s="10"/>
      <c r="J140" s="10"/>
      <c r="K140" s="27"/>
      <c r="M140" s="51"/>
    </row>
    <row r="141" spans="1:13" x14ac:dyDescent="0.2">
      <c r="A141"/>
      <c r="B141"/>
      <c r="C141"/>
      <c r="D141"/>
      <c r="E141" s="7"/>
      <c r="F141"/>
      <c r="G141"/>
      <c r="H141" s="10"/>
      <c r="I141" s="10"/>
      <c r="J141" s="10"/>
      <c r="K141" s="27"/>
      <c r="M141" s="51"/>
    </row>
    <row r="142" spans="1:13" x14ac:dyDescent="0.2">
      <c r="A142"/>
      <c r="B142"/>
      <c r="C142"/>
      <c r="D142"/>
      <c r="E142" s="7"/>
      <c r="F142"/>
      <c r="G142"/>
      <c r="H142" s="10"/>
      <c r="I142" s="10"/>
      <c r="J142" s="10"/>
      <c r="K142" s="27"/>
      <c r="M142" s="51"/>
    </row>
    <row r="143" spans="1:13" x14ac:dyDescent="0.2">
      <c r="A143"/>
      <c r="B143"/>
      <c r="C143"/>
      <c r="D143"/>
      <c r="E143" s="7"/>
      <c r="F143"/>
      <c r="G143"/>
      <c r="H143" s="10"/>
      <c r="I143" s="10"/>
      <c r="J143" s="10"/>
      <c r="K143" s="27"/>
      <c r="M143" s="51"/>
    </row>
    <row r="144" spans="1:13" x14ac:dyDescent="0.2">
      <c r="A144"/>
      <c r="B144"/>
      <c r="C144"/>
      <c r="D144"/>
      <c r="E144" s="7"/>
      <c r="F144"/>
      <c r="G144"/>
      <c r="H144" s="10"/>
      <c r="I144" s="10"/>
      <c r="J144" s="10"/>
      <c r="K144" s="27"/>
      <c r="M144" s="51"/>
    </row>
    <row r="145" spans="1:13" x14ac:dyDescent="0.2">
      <c r="A145"/>
      <c r="B145"/>
      <c r="C145"/>
      <c r="D145"/>
      <c r="E145" s="7"/>
      <c r="F145"/>
      <c r="G145"/>
      <c r="H145" s="10"/>
      <c r="I145" s="10"/>
      <c r="J145" s="10"/>
      <c r="K145" s="27"/>
      <c r="M145" s="51"/>
    </row>
    <row r="146" spans="1:13" x14ac:dyDescent="0.2">
      <c r="A146"/>
      <c r="B146"/>
      <c r="C146"/>
      <c r="D146"/>
      <c r="E146" s="7"/>
      <c r="F146"/>
      <c r="G146"/>
      <c r="H146" s="10"/>
      <c r="I146" s="10"/>
      <c r="J146" s="10"/>
      <c r="K146" s="27"/>
      <c r="M146" s="51"/>
    </row>
    <row r="147" spans="1:13" x14ac:dyDescent="0.2">
      <c r="A147"/>
      <c r="B147"/>
      <c r="C147"/>
      <c r="D147"/>
      <c r="E147" s="7"/>
      <c r="F147"/>
      <c r="G147"/>
      <c r="H147" s="10"/>
      <c r="I147" s="10"/>
      <c r="J147" s="10"/>
      <c r="K147" s="27"/>
      <c r="M147" s="51"/>
    </row>
    <row r="148" spans="1:13" x14ac:dyDescent="0.2">
      <c r="A148"/>
      <c r="B148"/>
      <c r="C148"/>
      <c r="D148"/>
      <c r="E148" s="7"/>
      <c r="F148"/>
      <c r="G148"/>
      <c r="H148" s="10"/>
      <c r="I148" s="10"/>
      <c r="J148" s="10"/>
      <c r="K148" s="27"/>
      <c r="M148" s="51"/>
    </row>
    <row r="149" spans="1:13" x14ac:dyDescent="0.2">
      <c r="A149"/>
      <c r="B149"/>
      <c r="C149"/>
      <c r="D149"/>
      <c r="E149" s="7"/>
      <c r="F149"/>
      <c r="G149"/>
      <c r="H149" s="10"/>
      <c r="I149" s="10"/>
      <c r="J149" s="10"/>
      <c r="K149" s="27"/>
      <c r="M149" s="51"/>
    </row>
    <row r="150" spans="1:13" x14ac:dyDescent="0.2">
      <c r="A150"/>
      <c r="B150"/>
      <c r="C150"/>
      <c r="D150"/>
      <c r="E150" s="7"/>
      <c r="F150"/>
      <c r="G150"/>
      <c r="H150" s="10"/>
      <c r="I150" s="10"/>
      <c r="J150" s="10"/>
      <c r="K150" s="27"/>
      <c r="M150" s="51"/>
    </row>
    <row r="151" spans="1:13" x14ac:dyDescent="0.2">
      <c r="A151"/>
      <c r="B151"/>
      <c r="C151"/>
      <c r="D151"/>
      <c r="E151" s="7"/>
      <c r="F151"/>
      <c r="G151"/>
      <c r="H151" s="10"/>
      <c r="I151" s="10"/>
      <c r="J151" s="10"/>
      <c r="K151" s="27"/>
      <c r="M151" s="51"/>
    </row>
    <row r="152" spans="1:13" x14ac:dyDescent="0.2">
      <c r="A152"/>
      <c r="B152"/>
      <c r="C152"/>
      <c r="D152"/>
      <c r="E152" s="7"/>
      <c r="F152"/>
      <c r="G152"/>
      <c r="H152" s="10"/>
      <c r="I152" s="10"/>
      <c r="J152" s="10"/>
      <c r="K152" s="27"/>
      <c r="M152" s="51"/>
    </row>
    <row r="153" spans="1:13" x14ac:dyDescent="0.2">
      <c r="A153"/>
      <c r="B153"/>
      <c r="C153"/>
      <c r="D153"/>
      <c r="E153" s="7"/>
      <c r="F153"/>
      <c r="G153"/>
      <c r="H153" s="10"/>
      <c r="I153" s="10"/>
      <c r="J153" s="10"/>
      <c r="K153" s="27"/>
      <c r="M153" s="51"/>
    </row>
    <row r="154" spans="1:13" x14ac:dyDescent="0.2">
      <c r="A154"/>
      <c r="B154"/>
      <c r="C154"/>
      <c r="D154"/>
      <c r="E154" s="7"/>
      <c r="F154"/>
      <c r="G154"/>
      <c r="H154" s="10"/>
      <c r="I154" s="10"/>
      <c r="J154" s="10"/>
      <c r="K154" s="27"/>
      <c r="M154" s="51"/>
    </row>
    <row r="155" spans="1:13" x14ac:dyDescent="0.2">
      <c r="A155"/>
      <c r="B155"/>
      <c r="C155"/>
      <c r="D155"/>
      <c r="E155" s="7"/>
      <c r="F155"/>
      <c r="G155"/>
      <c r="H155" s="10"/>
      <c r="I155" s="10"/>
      <c r="J155" s="10"/>
      <c r="K155" s="27"/>
      <c r="M155" s="51"/>
    </row>
    <row r="156" spans="1:13" x14ac:dyDescent="0.2">
      <c r="A156"/>
      <c r="B156"/>
      <c r="C156"/>
      <c r="D156"/>
      <c r="E156" s="7"/>
      <c r="F156"/>
      <c r="G156"/>
      <c r="H156" s="10"/>
      <c r="I156" s="10"/>
      <c r="J156" s="10"/>
      <c r="K156" s="27"/>
      <c r="M156" s="51"/>
    </row>
    <row r="157" spans="1:13" x14ac:dyDescent="0.2">
      <c r="A157"/>
      <c r="B157"/>
      <c r="C157"/>
      <c r="D157"/>
      <c r="E157" s="7"/>
      <c r="F157"/>
      <c r="G157"/>
      <c r="H157" s="10"/>
      <c r="I157" s="10"/>
      <c r="J157" s="10"/>
      <c r="K157" s="27"/>
      <c r="M157" s="51"/>
    </row>
    <row r="158" spans="1:13" x14ac:dyDescent="0.2">
      <c r="A158"/>
      <c r="B158"/>
      <c r="C158"/>
      <c r="D158"/>
      <c r="E158" s="7"/>
      <c r="F158"/>
      <c r="G158"/>
      <c r="H158" s="10"/>
      <c r="I158" s="10"/>
      <c r="J158" s="10"/>
      <c r="K158" s="27"/>
      <c r="M158" s="51"/>
    </row>
    <row r="159" spans="1:13" x14ac:dyDescent="0.2">
      <c r="A159"/>
      <c r="B159"/>
      <c r="C159"/>
      <c r="D159"/>
      <c r="E159" s="7"/>
      <c r="F159"/>
      <c r="G159"/>
      <c r="H159" s="10"/>
      <c r="I159" s="10"/>
      <c r="J159" s="10"/>
      <c r="K159" s="27"/>
      <c r="M159" s="51"/>
    </row>
    <row r="160" spans="1:13" x14ac:dyDescent="0.2">
      <c r="A160"/>
      <c r="B160"/>
      <c r="C160"/>
      <c r="D160"/>
      <c r="E160" s="7"/>
      <c r="F160"/>
      <c r="G160"/>
      <c r="H160" s="10"/>
      <c r="I160" s="10"/>
      <c r="J160" s="10"/>
      <c r="K160" s="27"/>
      <c r="M160" s="51"/>
    </row>
    <row r="161" spans="1:13" x14ac:dyDescent="0.2">
      <c r="A161"/>
      <c r="B161"/>
      <c r="C161"/>
      <c r="D161"/>
      <c r="E161" s="7"/>
      <c r="F161"/>
      <c r="G161"/>
      <c r="H161" s="10"/>
      <c r="I161" s="10"/>
      <c r="J161" s="10"/>
      <c r="K161" s="27"/>
      <c r="M161" s="51"/>
    </row>
    <row r="162" spans="1:13" x14ac:dyDescent="0.2">
      <c r="A162"/>
      <c r="B162"/>
      <c r="C162"/>
      <c r="D162"/>
      <c r="E162" s="7"/>
      <c r="F162"/>
      <c r="G162"/>
      <c r="H162" s="10"/>
      <c r="I162" s="10"/>
      <c r="J162" s="10"/>
      <c r="K162" s="27"/>
      <c r="M162" s="51"/>
    </row>
    <row r="163" spans="1:13" x14ac:dyDescent="0.2">
      <c r="A163"/>
      <c r="B163"/>
      <c r="C163"/>
      <c r="D163"/>
      <c r="E163" s="7"/>
      <c r="F163"/>
      <c r="G163"/>
      <c r="H163" s="10"/>
      <c r="I163" s="10"/>
      <c r="J163" s="10"/>
      <c r="K163" s="27"/>
      <c r="M163" s="51"/>
    </row>
    <row r="164" spans="1:13" x14ac:dyDescent="0.2">
      <c r="A164"/>
      <c r="B164"/>
      <c r="C164"/>
      <c r="D164"/>
      <c r="E164" s="7"/>
      <c r="F164"/>
      <c r="G164"/>
      <c r="H164" s="10"/>
      <c r="I164" s="10"/>
      <c r="J164" s="10"/>
      <c r="K164" s="27"/>
      <c r="M164" s="51"/>
    </row>
    <row r="165" spans="1:13" x14ac:dyDescent="0.2">
      <c r="A165"/>
      <c r="B165"/>
      <c r="C165"/>
      <c r="D165"/>
      <c r="E165" s="7"/>
      <c r="F165"/>
      <c r="G165"/>
      <c r="H165" s="10"/>
      <c r="I165" s="10"/>
      <c r="J165" s="10"/>
      <c r="K165" s="27"/>
      <c r="M165" s="51"/>
    </row>
    <row r="166" spans="1:13" x14ac:dyDescent="0.2">
      <c r="A166"/>
      <c r="B166"/>
      <c r="C166"/>
      <c r="D166"/>
      <c r="E166" s="7"/>
      <c r="F166"/>
      <c r="G166"/>
      <c r="H166" s="10"/>
      <c r="I166" s="10"/>
      <c r="J166" s="10"/>
      <c r="K166" s="27"/>
      <c r="M166" s="51"/>
    </row>
    <row r="167" spans="1:13" x14ac:dyDescent="0.2">
      <c r="A167"/>
      <c r="B167"/>
      <c r="C167"/>
      <c r="D167"/>
      <c r="E167" s="7"/>
      <c r="F167"/>
      <c r="G167"/>
      <c r="H167" s="10"/>
      <c r="I167" s="10"/>
      <c r="J167" s="10"/>
      <c r="K167" s="27"/>
      <c r="M167" s="51"/>
    </row>
    <row r="168" spans="1:13" x14ac:dyDescent="0.2">
      <c r="A168"/>
      <c r="B168"/>
      <c r="C168"/>
      <c r="D168"/>
      <c r="E168" s="7"/>
      <c r="F168"/>
      <c r="G168"/>
      <c r="H168" s="10"/>
      <c r="I168" s="10"/>
      <c r="J168" s="10"/>
      <c r="K168" s="27"/>
      <c r="M168" s="51"/>
    </row>
    <row r="169" spans="1:13" x14ac:dyDescent="0.2">
      <c r="A169"/>
      <c r="B169"/>
      <c r="C169"/>
      <c r="D169"/>
      <c r="E169" s="7"/>
      <c r="F169"/>
      <c r="G169"/>
      <c r="H169" s="10"/>
      <c r="I169" s="10"/>
      <c r="J169" s="10"/>
      <c r="K169" s="27"/>
      <c r="M169" s="51"/>
    </row>
    <row r="170" spans="1:13" x14ac:dyDescent="0.2">
      <c r="A170"/>
      <c r="B170"/>
      <c r="C170"/>
      <c r="D170"/>
      <c r="E170" s="7"/>
      <c r="F170"/>
      <c r="G170"/>
      <c r="H170" s="10"/>
      <c r="I170" s="10"/>
      <c r="J170" s="10"/>
      <c r="K170" s="27"/>
      <c r="M170" s="51"/>
    </row>
    <row r="171" spans="1:13" x14ac:dyDescent="0.2">
      <c r="A171"/>
      <c r="B171"/>
      <c r="C171"/>
      <c r="D171"/>
      <c r="E171" s="7"/>
      <c r="F171"/>
      <c r="G171"/>
      <c r="H171" s="10"/>
      <c r="I171" s="10"/>
      <c r="J171" s="10"/>
      <c r="K171" s="27"/>
      <c r="M171" s="51"/>
    </row>
    <row r="172" spans="1:13" x14ac:dyDescent="0.2">
      <c r="A172"/>
      <c r="B172"/>
      <c r="C172"/>
      <c r="D172"/>
      <c r="E172" s="7"/>
      <c r="F172"/>
      <c r="G172"/>
      <c r="H172" s="10"/>
      <c r="I172" s="10"/>
      <c r="J172" s="10"/>
      <c r="K172" s="27"/>
      <c r="M172" s="51"/>
    </row>
    <row r="173" spans="1:13" x14ac:dyDescent="0.2">
      <c r="A173"/>
      <c r="B173"/>
      <c r="C173"/>
      <c r="D173"/>
      <c r="E173" s="7"/>
      <c r="F173"/>
      <c r="G173"/>
      <c r="H173" s="10"/>
      <c r="I173" s="10"/>
      <c r="J173" s="10"/>
      <c r="K173" s="27"/>
      <c r="M173" s="51"/>
    </row>
    <row r="174" spans="1:13" x14ac:dyDescent="0.2">
      <c r="A174"/>
      <c r="B174"/>
      <c r="C174"/>
      <c r="D174"/>
      <c r="E174" s="7"/>
      <c r="F174"/>
      <c r="G174"/>
      <c r="H174" s="10"/>
      <c r="I174" s="10"/>
      <c r="J174" s="10"/>
      <c r="K174" s="27"/>
      <c r="M174" s="51"/>
    </row>
    <row r="175" spans="1:13" x14ac:dyDescent="0.2">
      <c r="A175"/>
      <c r="B175"/>
      <c r="C175"/>
      <c r="D175"/>
      <c r="E175" s="7"/>
      <c r="F175"/>
      <c r="G175"/>
      <c r="H175" s="10"/>
      <c r="I175" s="10"/>
      <c r="J175" s="10"/>
      <c r="K175" s="27"/>
      <c r="M175" s="51"/>
    </row>
    <row r="176" spans="1:13" x14ac:dyDescent="0.2">
      <c r="A176"/>
      <c r="B176"/>
      <c r="C176"/>
      <c r="D176"/>
      <c r="E176" s="7"/>
      <c r="F176"/>
      <c r="G176"/>
      <c r="H176" s="10"/>
      <c r="I176" s="10"/>
      <c r="J176" s="10"/>
      <c r="K176" s="27"/>
      <c r="M176" s="51"/>
    </row>
    <row r="177" spans="1:13" x14ac:dyDescent="0.2">
      <c r="A177"/>
      <c r="B177"/>
      <c r="C177"/>
      <c r="D177"/>
      <c r="E177" s="7"/>
      <c r="F177"/>
      <c r="G177"/>
      <c r="H177" s="10"/>
      <c r="I177" s="10"/>
      <c r="J177" s="10"/>
      <c r="K177" s="27"/>
      <c r="M177" s="51"/>
    </row>
    <row r="178" spans="1:13" x14ac:dyDescent="0.2">
      <c r="A178"/>
      <c r="B178"/>
      <c r="C178"/>
      <c r="D178"/>
      <c r="E178" s="7"/>
      <c r="F178"/>
      <c r="G178"/>
      <c r="H178" s="10"/>
      <c r="I178" s="10"/>
      <c r="J178" s="10"/>
      <c r="K178" s="27"/>
      <c r="M178" s="51"/>
    </row>
    <row r="179" spans="1:13" x14ac:dyDescent="0.2">
      <c r="A179"/>
      <c r="B179"/>
      <c r="C179"/>
      <c r="D179"/>
      <c r="E179" s="7"/>
      <c r="F179"/>
      <c r="G179"/>
      <c r="H179" s="10"/>
      <c r="I179" s="10"/>
      <c r="J179" s="10"/>
      <c r="K179" s="27"/>
      <c r="M179" s="51"/>
    </row>
    <row r="180" spans="1:13" x14ac:dyDescent="0.2">
      <c r="A180"/>
      <c r="B180"/>
      <c r="C180"/>
      <c r="D180"/>
      <c r="E180" s="7"/>
      <c r="F180"/>
      <c r="G180"/>
      <c r="H180" s="10"/>
      <c r="I180" s="10"/>
      <c r="J180" s="10"/>
      <c r="K180" s="27"/>
      <c r="M180" s="51"/>
    </row>
    <row r="181" spans="1:13" x14ac:dyDescent="0.2">
      <c r="A181"/>
      <c r="B181"/>
      <c r="C181"/>
      <c r="D181"/>
      <c r="E181" s="7"/>
      <c r="F181"/>
      <c r="G181"/>
      <c r="H181" s="10"/>
      <c r="I181" s="10"/>
      <c r="J181" s="10"/>
      <c r="K181" s="27"/>
      <c r="M181" s="51"/>
    </row>
    <row r="182" spans="1:13" x14ac:dyDescent="0.2">
      <c r="A182"/>
      <c r="B182"/>
      <c r="C182"/>
      <c r="D182"/>
      <c r="E182" s="7"/>
      <c r="F182"/>
      <c r="G182"/>
      <c r="H182" s="10"/>
      <c r="I182" s="10"/>
      <c r="J182" s="10"/>
      <c r="K182" s="27"/>
      <c r="M182" s="51"/>
    </row>
    <row r="183" spans="1:13" x14ac:dyDescent="0.2">
      <c r="A183"/>
      <c r="B183"/>
      <c r="C183"/>
      <c r="D183"/>
      <c r="E183" s="7"/>
      <c r="F183"/>
      <c r="G183"/>
      <c r="H183" s="10"/>
      <c r="I183" s="10"/>
      <c r="J183" s="10"/>
      <c r="K183" s="27"/>
      <c r="M183" s="51"/>
    </row>
    <row r="184" spans="1:13" x14ac:dyDescent="0.2">
      <c r="A184"/>
      <c r="B184"/>
      <c r="C184"/>
      <c r="D184"/>
      <c r="E184" s="7"/>
      <c r="F184"/>
      <c r="G184"/>
      <c r="H184" s="10"/>
      <c r="I184" s="10"/>
      <c r="J184" s="10"/>
      <c r="K184" s="27"/>
      <c r="M184" s="51"/>
    </row>
    <row r="185" spans="1:13" x14ac:dyDescent="0.2">
      <c r="A185"/>
      <c r="B185"/>
      <c r="C185"/>
      <c r="D185"/>
      <c r="E185" s="7"/>
      <c r="F185"/>
      <c r="G185"/>
      <c r="H185" s="10"/>
      <c r="I185" s="10"/>
      <c r="J185" s="10"/>
      <c r="K185" s="27"/>
      <c r="M185" s="51"/>
    </row>
    <row r="186" spans="1:13" x14ac:dyDescent="0.2">
      <c r="A186"/>
      <c r="B186"/>
      <c r="C186"/>
      <c r="D186"/>
      <c r="E186" s="7"/>
      <c r="F186"/>
      <c r="G186"/>
      <c r="H186" s="10"/>
      <c r="I186" s="10"/>
      <c r="J186" s="10"/>
      <c r="K186" s="27"/>
      <c r="M186" s="51"/>
    </row>
    <row r="187" spans="1:13" x14ac:dyDescent="0.2">
      <c r="A187"/>
      <c r="B187"/>
      <c r="C187"/>
      <c r="D187"/>
      <c r="E187" s="7"/>
      <c r="F187"/>
      <c r="G187"/>
      <c r="H187" s="10"/>
      <c r="I187" s="10"/>
      <c r="J187" s="10"/>
      <c r="K187" s="27"/>
      <c r="M187" s="51"/>
    </row>
    <row r="188" spans="1:13" x14ac:dyDescent="0.2">
      <c r="A188"/>
      <c r="B188"/>
      <c r="C188"/>
      <c r="D188"/>
      <c r="E188" s="7"/>
      <c r="F188"/>
      <c r="G188"/>
      <c r="H188" s="10"/>
      <c r="I188" s="10"/>
      <c r="J188" s="10"/>
      <c r="K188" s="27"/>
      <c r="M188" s="51"/>
    </row>
    <row r="189" spans="1:13" x14ac:dyDescent="0.2">
      <c r="A189"/>
      <c r="B189"/>
      <c r="C189"/>
      <c r="D189"/>
      <c r="E189" s="7"/>
      <c r="F189"/>
      <c r="G189"/>
      <c r="H189" s="10"/>
      <c r="I189" s="10"/>
      <c r="J189" s="10"/>
      <c r="K189" s="27"/>
      <c r="M189" s="51"/>
    </row>
    <row r="190" spans="1:13" x14ac:dyDescent="0.2">
      <c r="A190"/>
      <c r="B190"/>
      <c r="C190"/>
      <c r="D190"/>
      <c r="E190" s="7"/>
      <c r="F190"/>
      <c r="G190"/>
      <c r="H190" s="10"/>
      <c r="I190" s="10"/>
      <c r="J190" s="10"/>
      <c r="K190" s="27"/>
      <c r="M190" s="51"/>
    </row>
    <row r="191" spans="1:13" x14ac:dyDescent="0.2">
      <c r="A191"/>
      <c r="B191"/>
      <c r="C191"/>
      <c r="D191"/>
      <c r="E191" s="7"/>
      <c r="F191"/>
      <c r="G191"/>
      <c r="H191" s="10"/>
      <c r="I191" s="10"/>
      <c r="J191" s="10"/>
      <c r="K191" s="27"/>
      <c r="M191" s="51"/>
    </row>
    <row r="192" spans="1:13" x14ac:dyDescent="0.2">
      <c r="A192"/>
      <c r="B192"/>
      <c r="C192"/>
      <c r="D192"/>
      <c r="E192" s="7"/>
      <c r="F192"/>
      <c r="G192"/>
      <c r="H192" s="10"/>
      <c r="I192" s="10"/>
      <c r="J192" s="10"/>
      <c r="K192" s="27"/>
      <c r="M192" s="51"/>
    </row>
    <row r="193" spans="1:13" x14ac:dyDescent="0.2">
      <c r="A193"/>
      <c r="B193"/>
      <c r="C193"/>
      <c r="D193"/>
      <c r="E193" s="7"/>
      <c r="F193"/>
      <c r="G193"/>
      <c r="H193" s="10"/>
      <c r="I193" s="10"/>
      <c r="J193" s="10"/>
      <c r="K193" s="27"/>
      <c r="M193" s="51"/>
    </row>
    <row r="194" spans="1:13" x14ac:dyDescent="0.2">
      <c r="A194"/>
      <c r="B194"/>
      <c r="C194"/>
      <c r="D194"/>
      <c r="E194" s="7"/>
      <c r="F194"/>
      <c r="G194"/>
      <c r="H194" s="10"/>
      <c r="I194" s="10"/>
      <c r="J194" s="10"/>
      <c r="K194" s="27"/>
      <c r="M194" s="51"/>
    </row>
    <row r="195" spans="1:13" x14ac:dyDescent="0.2">
      <c r="A195"/>
      <c r="B195"/>
      <c r="C195"/>
      <c r="D195"/>
      <c r="E195" s="7"/>
      <c r="F195"/>
      <c r="G195"/>
      <c r="H195" s="10"/>
      <c r="I195" s="10"/>
      <c r="J195" s="10"/>
      <c r="K195" s="27"/>
      <c r="M195" s="51"/>
    </row>
    <row r="196" spans="1:13" x14ac:dyDescent="0.2">
      <c r="A196"/>
      <c r="B196"/>
      <c r="C196"/>
      <c r="D196"/>
      <c r="E196" s="7"/>
      <c r="F196"/>
      <c r="G196"/>
      <c r="H196" s="10"/>
      <c r="I196" s="10"/>
      <c r="J196" s="10"/>
      <c r="K196" s="27"/>
      <c r="M196" s="51"/>
    </row>
    <row r="197" spans="1:13" x14ac:dyDescent="0.2">
      <c r="A197"/>
      <c r="B197"/>
      <c r="C197"/>
      <c r="D197"/>
      <c r="E197" s="7"/>
      <c r="F197"/>
      <c r="G197"/>
      <c r="H197" s="10"/>
      <c r="I197" s="10"/>
      <c r="J197" s="10"/>
      <c r="K197" s="27"/>
      <c r="M197" s="51"/>
    </row>
    <row r="198" spans="1:13" x14ac:dyDescent="0.2">
      <c r="A198"/>
      <c r="B198"/>
      <c r="C198"/>
      <c r="D198"/>
      <c r="E198" s="7"/>
      <c r="F198"/>
      <c r="G198"/>
      <c r="H198" s="10"/>
      <c r="I198" s="10"/>
      <c r="J198" s="10"/>
      <c r="K198" s="27"/>
      <c r="M198" s="51"/>
    </row>
    <row r="199" spans="1:13" x14ac:dyDescent="0.2">
      <c r="A199"/>
      <c r="B199"/>
      <c r="C199"/>
      <c r="D199"/>
      <c r="E199" s="7"/>
      <c r="F199"/>
      <c r="G199"/>
      <c r="H199" s="10"/>
      <c r="I199" s="10"/>
      <c r="J199" s="10"/>
      <c r="K199" s="27"/>
      <c r="M199" s="51"/>
    </row>
    <row r="200" spans="1:13" x14ac:dyDescent="0.2">
      <c r="A200"/>
      <c r="B200"/>
      <c r="C200"/>
      <c r="D200"/>
      <c r="E200" s="7"/>
      <c r="F200"/>
      <c r="G200"/>
      <c r="H200" s="10"/>
      <c r="I200" s="10"/>
      <c r="J200" s="10"/>
      <c r="K200" s="27"/>
      <c r="M200" s="51"/>
    </row>
    <row r="201" spans="1:13" x14ac:dyDescent="0.2">
      <c r="A201"/>
      <c r="B201"/>
      <c r="C201"/>
      <c r="D201"/>
      <c r="E201" s="7"/>
      <c r="F201"/>
      <c r="G201"/>
      <c r="H201" s="10"/>
      <c r="I201" s="10"/>
      <c r="J201" s="10"/>
      <c r="K201" s="27"/>
      <c r="M201" s="51"/>
    </row>
    <row r="202" spans="1:13" x14ac:dyDescent="0.2">
      <c r="A202"/>
      <c r="B202"/>
      <c r="C202"/>
      <c r="D202"/>
      <c r="E202" s="7"/>
      <c r="F202"/>
      <c r="G202"/>
      <c r="H202" s="10"/>
      <c r="I202" s="10"/>
      <c r="J202" s="10"/>
      <c r="K202" s="27"/>
      <c r="M202" s="51"/>
    </row>
    <row r="203" spans="1:13" x14ac:dyDescent="0.2">
      <c r="A203"/>
      <c r="B203"/>
      <c r="C203"/>
      <c r="D203"/>
      <c r="E203" s="7"/>
      <c r="F203"/>
      <c r="G203"/>
      <c r="H203" s="10"/>
      <c r="I203" s="10"/>
      <c r="J203" s="10"/>
      <c r="K203" s="27"/>
      <c r="M203" s="51"/>
    </row>
    <row r="204" spans="1:13" x14ac:dyDescent="0.2">
      <c r="A204"/>
      <c r="B204"/>
      <c r="C204"/>
      <c r="D204"/>
      <c r="E204" s="7"/>
      <c r="F204"/>
      <c r="G204"/>
      <c r="H204" s="10"/>
      <c r="I204" s="10"/>
      <c r="J204" s="10"/>
      <c r="K204" s="27"/>
      <c r="M204" s="51"/>
    </row>
    <row r="205" spans="1:13" x14ac:dyDescent="0.2">
      <c r="A205"/>
      <c r="B205"/>
      <c r="C205"/>
      <c r="D205"/>
      <c r="E205" s="7"/>
      <c r="F205"/>
      <c r="G205"/>
      <c r="H205" s="10"/>
      <c r="I205" s="10"/>
      <c r="J205" s="10"/>
      <c r="K205" s="27"/>
      <c r="M205" s="51"/>
    </row>
    <row r="206" spans="1:13" x14ac:dyDescent="0.2">
      <c r="A206"/>
      <c r="B206"/>
      <c r="C206"/>
      <c r="D206"/>
      <c r="E206" s="7"/>
      <c r="F206"/>
      <c r="G206"/>
      <c r="H206" s="10"/>
      <c r="I206" s="10"/>
      <c r="J206" s="10"/>
      <c r="K206" s="27"/>
      <c r="M206" s="51"/>
    </row>
    <row r="207" spans="1:13" x14ac:dyDescent="0.2">
      <c r="A207"/>
      <c r="B207"/>
      <c r="C207"/>
      <c r="D207"/>
      <c r="E207" s="7"/>
      <c r="F207"/>
      <c r="G207"/>
      <c r="H207" s="10"/>
      <c r="I207" s="10"/>
      <c r="J207" s="10"/>
      <c r="K207" s="27"/>
      <c r="M207" s="51"/>
    </row>
    <row r="208" spans="1:13" x14ac:dyDescent="0.2">
      <c r="A208"/>
      <c r="B208"/>
      <c r="C208"/>
      <c r="D208"/>
      <c r="E208" s="7"/>
      <c r="F208"/>
      <c r="G208"/>
      <c r="H208" s="10"/>
      <c r="I208" s="10"/>
      <c r="J208" s="10"/>
      <c r="K208" s="27"/>
      <c r="M208" s="51"/>
    </row>
    <row r="209" spans="1:13" x14ac:dyDescent="0.2">
      <c r="A209"/>
      <c r="B209"/>
      <c r="C209"/>
      <c r="D209"/>
      <c r="E209" s="7"/>
      <c r="F209"/>
      <c r="G209"/>
      <c r="H209" s="10"/>
      <c r="I209" s="10"/>
      <c r="J209" s="10"/>
      <c r="K209" s="27"/>
      <c r="M209" s="51"/>
    </row>
    <row r="210" spans="1:13" x14ac:dyDescent="0.2">
      <c r="A210"/>
      <c r="B210"/>
      <c r="C210"/>
      <c r="D210"/>
      <c r="E210" s="7"/>
      <c r="F210"/>
      <c r="G210"/>
      <c r="H210" s="10"/>
      <c r="I210" s="10"/>
      <c r="J210" s="10"/>
      <c r="K210" s="27"/>
      <c r="M210" s="51"/>
    </row>
    <row r="211" spans="1:13" x14ac:dyDescent="0.2">
      <c r="A211"/>
      <c r="B211"/>
      <c r="C211"/>
      <c r="D211"/>
      <c r="E211" s="7"/>
      <c r="F211"/>
      <c r="G211"/>
      <c r="H211" s="10"/>
      <c r="I211" s="10"/>
      <c r="J211" s="10"/>
      <c r="K211" s="27"/>
      <c r="M211" s="51"/>
    </row>
    <row r="212" spans="1:13" x14ac:dyDescent="0.2">
      <c r="A212"/>
      <c r="B212"/>
      <c r="C212"/>
      <c r="D212"/>
      <c r="E212" s="7"/>
      <c r="F212"/>
      <c r="G212"/>
      <c r="H212" s="10"/>
      <c r="I212" s="10"/>
      <c r="J212" s="10"/>
      <c r="K212" s="27"/>
      <c r="M212" s="51"/>
    </row>
    <row r="213" spans="1:13" x14ac:dyDescent="0.2">
      <c r="A213"/>
      <c r="B213"/>
      <c r="C213"/>
      <c r="D213"/>
      <c r="E213" s="7"/>
      <c r="F213"/>
      <c r="G213"/>
      <c r="H213" s="10"/>
      <c r="I213" s="10"/>
      <c r="J213" s="10"/>
      <c r="K213" s="27"/>
      <c r="M213" s="51"/>
    </row>
    <row r="214" spans="1:13" x14ac:dyDescent="0.2">
      <c r="A214"/>
      <c r="B214"/>
      <c r="C214"/>
      <c r="D214"/>
      <c r="E214" s="7"/>
      <c r="F214"/>
      <c r="G214"/>
      <c r="H214" s="10"/>
      <c r="I214" s="10"/>
      <c r="J214" s="10"/>
      <c r="K214" s="27"/>
      <c r="M214" s="51"/>
    </row>
    <row r="215" spans="1:13" x14ac:dyDescent="0.2">
      <c r="A215"/>
      <c r="B215"/>
      <c r="C215"/>
      <c r="D215"/>
      <c r="E215" s="7"/>
      <c r="F215"/>
      <c r="G215"/>
      <c r="H215" s="10"/>
      <c r="I215" s="10"/>
      <c r="J215" s="10"/>
      <c r="K215" s="27"/>
      <c r="M215" s="51"/>
    </row>
    <row r="216" spans="1:13" x14ac:dyDescent="0.2">
      <c r="A216"/>
      <c r="B216"/>
      <c r="C216"/>
      <c r="D216"/>
      <c r="E216" s="7"/>
      <c r="F216"/>
      <c r="G216"/>
      <c r="H216" s="10"/>
      <c r="I216" s="10"/>
      <c r="J216" s="10"/>
      <c r="K216" s="27"/>
      <c r="M216" s="51"/>
    </row>
    <row r="217" spans="1:13" x14ac:dyDescent="0.2">
      <c r="A217"/>
      <c r="B217"/>
      <c r="C217"/>
      <c r="D217"/>
      <c r="E217" s="7"/>
      <c r="F217"/>
      <c r="G217"/>
      <c r="H217" s="10"/>
      <c r="I217" s="10"/>
      <c r="J217" s="10"/>
      <c r="K217" s="27"/>
      <c r="M217" s="51"/>
    </row>
    <row r="218" spans="1:13" x14ac:dyDescent="0.2">
      <c r="A218"/>
      <c r="B218"/>
      <c r="C218"/>
      <c r="D218"/>
      <c r="E218" s="7"/>
      <c r="F218"/>
      <c r="G218"/>
      <c r="H218" s="10"/>
      <c r="I218" s="10"/>
      <c r="J218" s="10"/>
      <c r="K218" s="27"/>
      <c r="M218" s="51"/>
    </row>
    <row r="219" spans="1:13" x14ac:dyDescent="0.2">
      <c r="A219"/>
      <c r="B219"/>
      <c r="C219"/>
      <c r="D219"/>
      <c r="E219" s="7"/>
      <c r="F219"/>
      <c r="G219"/>
      <c r="H219" s="10"/>
      <c r="I219" s="10"/>
      <c r="J219" s="10"/>
      <c r="K219" s="27"/>
      <c r="M219" s="51"/>
    </row>
    <row r="220" spans="1:13" x14ac:dyDescent="0.2">
      <c r="A220"/>
      <c r="B220"/>
      <c r="C220"/>
      <c r="D220"/>
      <c r="E220" s="7"/>
      <c r="F220"/>
      <c r="G220"/>
      <c r="H220" s="10"/>
      <c r="I220" s="10"/>
      <c r="J220" s="10"/>
      <c r="K220" s="27"/>
      <c r="M220" s="51"/>
    </row>
    <row r="221" spans="1:13" x14ac:dyDescent="0.2">
      <c r="A221"/>
      <c r="B221"/>
      <c r="C221"/>
      <c r="D221"/>
      <c r="E221" s="7"/>
      <c r="F221"/>
      <c r="G221"/>
      <c r="H221" s="10"/>
      <c r="I221" s="10"/>
      <c r="J221" s="10"/>
      <c r="K221" s="27"/>
      <c r="M221" s="51"/>
    </row>
    <row r="222" spans="1:13" x14ac:dyDescent="0.2">
      <c r="A222"/>
      <c r="B222"/>
      <c r="C222"/>
      <c r="D222"/>
      <c r="E222" s="7"/>
      <c r="F222"/>
      <c r="G222"/>
      <c r="H222" s="10"/>
      <c r="I222" s="10"/>
      <c r="J222" s="10"/>
      <c r="K222" s="27"/>
      <c r="M222" s="51"/>
    </row>
    <row r="223" spans="1:13" x14ac:dyDescent="0.2">
      <c r="A223"/>
      <c r="B223"/>
      <c r="C223"/>
      <c r="D223"/>
      <c r="E223" s="7"/>
      <c r="F223"/>
      <c r="G223"/>
      <c r="H223" s="10"/>
      <c r="I223" s="10"/>
      <c r="J223" s="10"/>
      <c r="K223" s="27"/>
      <c r="M223" s="51"/>
    </row>
    <row r="224" spans="1:13" x14ac:dyDescent="0.2">
      <c r="A224"/>
      <c r="B224"/>
      <c r="C224"/>
      <c r="D224"/>
      <c r="E224" s="7"/>
      <c r="F224"/>
      <c r="G224"/>
      <c r="H224" s="10"/>
      <c r="I224" s="10"/>
      <c r="J224" s="10"/>
      <c r="K224" s="27"/>
      <c r="M224" s="51"/>
    </row>
    <row r="225" spans="1:13" x14ac:dyDescent="0.2">
      <c r="A225"/>
      <c r="B225"/>
      <c r="C225"/>
      <c r="D225"/>
      <c r="E225" s="7"/>
      <c r="F225"/>
      <c r="G225"/>
      <c r="H225" s="10"/>
      <c r="I225" s="10"/>
      <c r="J225" s="10"/>
      <c r="K225" s="27"/>
      <c r="M225" s="51"/>
    </row>
    <row r="226" spans="1:13" x14ac:dyDescent="0.2">
      <c r="A226"/>
      <c r="B226"/>
      <c r="C226"/>
      <c r="D226"/>
      <c r="E226" s="7"/>
      <c r="F226"/>
      <c r="G226"/>
      <c r="H226" s="10"/>
      <c r="I226" s="10"/>
      <c r="J226" s="10"/>
      <c r="K226" s="27"/>
      <c r="M226" s="51"/>
    </row>
    <row r="227" spans="1:13" x14ac:dyDescent="0.2">
      <c r="A227"/>
      <c r="B227"/>
      <c r="C227"/>
      <c r="D227"/>
      <c r="E227" s="7"/>
      <c r="F227"/>
      <c r="G227"/>
      <c r="H227" s="10"/>
      <c r="I227" s="10"/>
      <c r="J227" s="10"/>
      <c r="K227" s="27"/>
      <c r="M227" s="51"/>
    </row>
    <row r="228" spans="1:13" x14ac:dyDescent="0.2">
      <c r="A228"/>
      <c r="B228"/>
      <c r="C228"/>
      <c r="D228"/>
      <c r="E228" s="7"/>
      <c r="F228"/>
      <c r="G228"/>
      <c r="H228" s="10"/>
      <c r="I228" s="10"/>
      <c r="J228" s="10"/>
      <c r="K228" s="27"/>
      <c r="M228" s="51"/>
    </row>
    <row r="229" spans="1:13" x14ac:dyDescent="0.2">
      <c r="A229"/>
      <c r="B229"/>
      <c r="C229"/>
      <c r="D229"/>
      <c r="E229" s="7"/>
      <c r="F229"/>
      <c r="G229"/>
      <c r="H229" s="10"/>
      <c r="I229" s="10"/>
      <c r="J229" s="10"/>
      <c r="K229" s="27"/>
      <c r="M229" s="51"/>
    </row>
    <row r="230" spans="1:13" x14ac:dyDescent="0.2">
      <c r="A230"/>
      <c r="B230"/>
      <c r="C230"/>
      <c r="D230"/>
      <c r="E230" s="7"/>
      <c r="F230"/>
      <c r="G230"/>
      <c r="H230" s="10"/>
      <c r="I230" s="10"/>
      <c r="J230" s="10"/>
      <c r="K230" s="27"/>
      <c r="M230" s="51"/>
    </row>
    <row r="231" spans="1:13" x14ac:dyDescent="0.2">
      <c r="A231"/>
      <c r="B231"/>
      <c r="C231"/>
      <c r="D231"/>
      <c r="E231" s="7"/>
      <c r="F231"/>
      <c r="G231"/>
      <c r="H231" s="10"/>
      <c r="I231" s="10"/>
      <c r="J231" s="10"/>
      <c r="K231" s="27"/>
      <c r="M231" s="51"/>
    </row>
    <row r="232" spans="1:13" x14ac:dyDescent="0.2">
      <c r="A232"/>
      <c r="B232"/>
      <c r="C232"/>
      <c r="D232"/>
      <c r="E232" s="7"/>
      <c r="F232"/>
      <c r="G232"/>
      <c r="H232" s="10"/>
      <c r="I232" s="10"/>
      <c r="J232" s="10"/>
      <c r="K232" s="27"/>
      <c r="M232" s="51"/>
    </row>
    <row r="233" spans="1:13" x14ac:dyDescent="0.2">
      <c r="A233"/>
      <c r="B233"/>
      <c r="C233"/>
      <c r="D233"/>
      <c r="E233" s="7"/>
      <c r="F233"/>
      <c r="G233"/>
      <c r="H233" s="10"/>
      <c r="I233" s="10"/>
      <c r="J233" s="10"/>
      <c r="K233" s="27"/>
      <c r="M233" s="51"/>
    </row>
    <row r="234" spans="1:13" x14ac:dyDescent="0.2">
      <c r="A234"/>
      <c r="B234"/>
      <c r="C234"/>
      <c r="D234"/>
      <c r="E234" s="7"/>
      <c r="F234"/>
      <c r="G234"/>
      <c r="H234" s="10"/>
      <c r="I234" s="10"/>
      <c r="J234" s="10"/>
      <c r="K234" s="27"/>
      <c r="M234" s="51"/>
    </row>
    <row r="235" spans="1:13" x14ac:dyDescent="0.2">
      <c r="A235"/>
      <c r="B235"/>
      <c r="C235"/>
      <c r="D235"/>
      <c r="E235" s="7"/>
      <c r="F235"/>
      <c r="G235"/>
      <c r="H235" s="10"/>
      <c r="I235" s="10"/>
      <c r="J235" s="10"/>
      <c r="K235" s="27"/>
      <c r="M235" s="51"/>
    </row>
    <row r="236" spans="1:13" x14ac:dyDescent="0.2">
      <c r="A236"/>
      <c r="B236"/>
      <c r="C236"/>
      <c r="D236"/>
      <c r="E236" s="7"/>
      <c r="F236"/>
      <c r="G236"/>
      <c r="H236" s="10"/>
      <c r="I236" s="10"/>
      <c r="J236" s="10"/>
      <c r="K236" s="27"/>
      <c r="M236" s="51"/>
    </row>
    <row r="237" spans="1:13" x14ac:dyDescent="0.2">
      <c r="A237"/>
      <c r="B237"/>
      <c r="C237"/>
      <c r="D237"/>
      <c r="E237" s="7"/>
      <c r="F237"/>
      <c r="G237"/>
      <c r="H237" s="10"/>
      <c r="I237" s="10"/>
      <c r="J237" s="10"/>
      <c r="K237" s="27"/>
      <c r="M237" s="51"/>
    </row>
    <row r="238" spans="1:13" x14ac:dyDescent="0.2">
      <c r="A238"/>
      <c r="B238"/>
      <c r="C238"/>
      <c r="D238"/>
      <c r="E238" s="7"/>
      <c r="F238"/>
      <c r="G238"/>
      <c r="H238" s="10"/>
      <c r="I238" s="10"/>
      <c r="J238" s="10"/>
      <c r="K238" s="27"/>
      <c r="M238" s="51"/>
    </row>
    <row r="239" spans="1:13" x14ac:dyDescent="0.2">
      <c r="A239"/>
      <c r="B239"/>
      <c r="C239"/>
      <c r="D239"/>
      <c r="E239" s="7"/>
      <c r="F239"/>
      <c r="G239"/>
      <c r="H239" s="10"/>
      <c r="I239" s="10"/>
      <c r="J239" s="10"/>
      <c r="K239" s="27"/>
      <c r="M239" s="51"/>
    </row>
    <row r="240" spans="1:13" x14ac:dyDescent="0.2">
      <c r="A240"/>
      <c r="B240"/>
      <c r="C240"/>
      <c r="D240"/>
      <c r="E240" s="7"/>
      <c r="F240"/>
      <c r="G240"/>
      <c r="H240" s="10"/>
      <c r="I240" s="10"/>
      <c r="J240" s="10"/>
      <c r="K240" s="27"/>
      <c r="M240" s="51"/>
    </row>
  </sheetData>
  <autoFilter ref="A1:M240"/>
  <pageMargins left="0.75" right="0.75" top="1" bottom="1" header="0.5" footer="0.5"/>
  <pageSetup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N234"/>
  <sheetViews>
    <sheetView zoomScale="120" zoomScaleNormal="120" workbookViewId="0">
      <pane ySplit="1" topLeftCell="A79" activePane="bottomLeft" state="frozen"/>
      <selection activeCell="L2" sqref="L2"/>
      <selection pane="bottomLeft" activeCell="M104" sqref="M104"/>
    </sheetView>
  </sheetViews>
  <sheetFormatPr defaultColWidth="9.140625" defaultRowHeight="12.75" x14ac:dyDescent="0.2"/>
  <cols>
    <col min="1" max="1" width="10.140625" style="3" customWidth="1"/>
    <col min="2" max="2" width="25.7109375" style="3" customWidth="1"/>
    <col min="3" max="3" width="10.85546875" style="3" bestFit="1" customWidth="1"/>
    <col min="4" max="4" width="13.7109375" style="3" customWidth="1"/>
    <col min="5" max="5" width="11.42578125" style="8" customWidth="1"/>
    <col min="6" max="7" width="8" style="3" customWidth="1"/>
    <col min="8" max="8" width="8" style="11" customWidth="1"/>
    <col min="9" max="9" width="10.5703125" style="11" customWidth="1"/>
    <col min="10" max="10" width="15.28515625" style="11" customWidth="1"/>
    <col min="11" max="11" width="9.140625" style="11" customWidth="1"/>
    <col min="12" max="12" width="8" style="11" customWidth="1"/>
    <col min="13" max="13" width="116.28515625" style="82" customWidth="1"/>
    <col min="14" max="14" width="27.85546875" style="14" bestFit="1" customWidth="1"/>
    <col min="15" max="16384" width="9.140625" style="3"/>
  </cols>
  <sheetData>
    <row r="1" spans="1:14" s="1" customFormat="1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1" t="s">
        <v>5</v>
      </c>
      <c r="G1" s="1" t="s">
        <v>6</v>
      </c>
      <c r="H1" s="58" t="s">
        <v>7</v>
      </c>
      <c r="I1" s="30" t="s">
        <v>8</v>
      </c>
      <c r="J1" s="30" t="s">
        <v>9</v>
      </c>
      <c r="K1" s="16" t="s">
        <v>10</v>
      </c>
      <c r="L1" s="16" t="s">
        <v>11</v>
      </c>
      <c r="M1" s="77" t="s">
        <v>12</v>
      </c>
      <c r="N1" s="13"/>
    </row>
    <row r="2" spans="1:14" x14ac:dyDescent="0.2">
      <c r="A2" t="s">
        <v>125</v>
      </c>
      <c r="B2" t="s">
        <v>126</v>
      </c>
      <c r="C2" s="5">
        <v>43508</v>
      </c>
      <c r="D2" s="2" t="s">
        <v>15</v>
      </c>
      <c r="E2" s="7">
        <v>18620</v>
      </c>
      <c r="F2"/>
      <c r="G2"/>
      <c r="H2" s="19">
        <f>3.66-7+0.115</f>
        <v>-3.2249999999999996</v>
      </c>
      <c r="I2" s="23">
        <v>98</v>
      </c>
      <c r="J2" s="14">
        <v>96.2</v>
      </c>
      <c r="K2" s="24">
        <f>J2-I2</f>
        <v>-1.7999999999999972</v>
      </c>
      <c r="L2" s="24"/>
      <c r="M2" s="2" t="s">
        <v>16</v>
      </c>
      <c r="N2" s="3"/>
    </row>
    <row r="3" spans="1:14" x14ac:dyDescent="0.2">
      <c r="A3" t="s">
        <v>125</v>
      </c>
      <c r="B3" t="s">
        <v>126</v>
      </c>
      <c r="C3" s="5">
        <v>43508</v>
      </c>
      <c r="D3" s="2" t="s">
        <v>17</v>
      </c>
      <c r="E3" s="7">
        <v>5494</v>
      </c>
      <c r="F3"/>
      <c r="G3"/>
      <c r="H3" s="32">
        <f>H13</f>
        <v>-1.6421000000000001</v>
      </c>
      <c r="I3" s="10"/>
      <c r="J3" s="10"/>
      <c r="K3" s="10"/>
      <c r="L3" s="10"/>
      <c r="M3" s="81" t="s">
        <v>127</v>
      </c>
      <c r="N3" s="17"/>
    </row>
    <row r="4" spans="1:14" x14ac:dyDescent="0.2">
      <c r="A4" t="s">
        <v>125</v>
      </c>
      <c r="B4" t="s">
        <v>126</v>
      </c>
      <c r="C4" s="5">
        <v>43508</v>
      </c>
      <c r="D4" s="2" t="s">
        <v>19</v>
      </c>
      <c r="E4" s="12">
        <v>2106</v>
      </c>
      <c r="F4"/>
      <c r="G4"/>
      <c r="H4" s="19"/>
      <c r="I4" s="10"/>
      <c r="J4" s="10"/>
      <c r="K4" s="10"/>
      <c r="L4" s="10"/>
      <c r="M4" s="51"/>
      <c r="N4" s="17"/>
    </row>
    <row r="5" spans="1:14" x14ac:dyDescent="0.2">
      <c r="A5" t="s">
        <v>125</v>
      </c>
      <c r="B5" t="s">
        <v>126</v>
      </c>
      <c r="C5" s="5">
        <v>43508</v>
      </c>
      <c r="D5" s="2" t="s">
        <v>20</v>
      </c>
      <c r="E5" s="12"/>
      <c r="F5"/>
      <c r="G5"/>
      <c r="H5" s="19">
        <v>-0.35</v>
      </c>
      <c r="I5" s="10"/>
      <c r="J5" s="10"/>
      <c r="K5" s="10"/>
      <c r="L5" s="10"/>
      <c r="M5" s="51"/>
      <c r="N5" s="17"/>
    </row>
    <row r="6" spans="1:14" x14ac:dyDescent="0.2">
      <c r="A6" t="s">
        <v>125</v>
      </c>
      <c r="B6" t="s">
        <v>126</v>
      </c>
      <c r="C6" s="5">
        <v>43508</v>
      </c>
      <c r="D6" s="2" t="s">
        <v>21</v>
      </c>
      <c r="E6" s="12"/>
      <c r="F6">
        <v>150758</v>
      </c>
      <c r="G6">
        <v>521332</v>
      </c>
      <c r="H6" s="19">
        <v>2.48</v>
      </c>
      <c r="I6" s="10"/>
      <c r="J6" s="10"/>
      <c r="K6" s="10"/>
      <c r="L6" s="10"/>
      <c r="M6" s="51"/>
      <c r="N6" s="17"/>
    </row>
    <row r="7" spans="1:14" x14ac:dyDescent="0.2">
      <c r="A7" t="s">
        <v>125</v>
      </c>
      <c r="B7" t="s">
        <v>126</v>
      </c>
      <c r="C7" s="5">
        <v>43522</v>
      </c>
      <c r="D7" s="2" t="s">
        <v>17</v>
      </c>
      <c r="E7" s="7">
        <v>5494</v>
      </c>
      <c r="F7"/>
      <c r="G7"/>
      <c r="H7" s="32">
        <f>H13</f>
        <v>-1.6421000000000001</v>
      </c>
      <c r="I7" s="10"/>
      <c r="J7" s="10"/>
      <c r="K7" s="10"/>
      <c r="L7" s="10"/>
      <c r="M7" s="81" t="s">
        <v>128</v>
      </c>
    </row>
    <row r="8" spans="1:14" x14ac:dyDescent="0.2">
      <c r="A8" t="s">
        <v>125</v>
      </c>
      <c r="B8" t="s">
        <v>126</v>
      </c>
      <c r="C8" s="5">
        <v>43522</v>
      </c>
      <c r="D8" s="41" t="s">
        <v>21</v>
      </c>
      <c r="E8" s="7"/>
      <c r="F8">
        <v>150758</v>
      </c>
      <c r="G8">
        <v>521332</v>
      </c>
      <c r="H8" s="19">
        <v>2.4</v>
      </c>
      <c r="I8" s="10"/>
      <c r="J8" s="10"/>
      <c r="K8" s="10"/>
      <c r="L8" s="10"/>
      <c r="M8" s="81" t="s">
        <v>86</v>
      </c>
      <c r="N8" s="17"/>
    </row>
    <row r="9" spans="1:14" x14ac:dyDescent="0.2">
      <c r="A9" t="s">
        <v>125</v>
      </c>
      <c r="B9" t="s">
        <v>126</v>
      </c>
      <c r="C9" s="5">
        <v>43522</v>
      </c>
      <c r="D9" s="41" t="s">
        <v>23</v>
      </c>
      <c r="E9" s="7"/>
      <c r="F9"/>
      <c r="G9"/>
      <c r="H9" s="19">
        <v>-3.5169999999999999</v>
      </c>
      <c r="I9" s="10"/>
      <c r="J9" s="10"/>
      <c r="K9" s="10"/>
      <c r="L9" s="10"/>
      <c r="M9" s="86" t="s">
        <v>129</v>
      </c>
      <c r="N9" s="17"/>
    </row>
    <row r="10" spans="1:14" x14ac:dyDescent="0.2">
      <c r="A10" t="s">
        <v>125</v>
      </c>
      <c r="B10" t="s">
        <v>126</v>
      </c>
      <c r="C10" s="40">
        <v>43550</v>
      </c>
      <c r="D10" s="41" t="s">
        <v>23</v>
      </c>
      <c r="E10" s="42"/>
      <c r="F10" s="20"/>
      <c r="G10" s="20"/>
      <c r="H10" s="19">
        <v>-3.5169999999999999</v>
      </c>
      <c r="I10" s="10"/>
      <c r="J10" s="10"/>
      <c r="K10" s="10"/>
      <c r="L10" s="10"/>
      <c r="M10" s="81" t="s">
        <v>130</v>
      </c>
    </row>
    <row r="11" spans="1:14" x14ac:dyDescent="0.2">
      <c r="A11" t="s">
        <v>125</v>
      </c>
      <c r="B11" t="s">
        <v>126</v>
      </c>
      <c r="C11" s="40">
        <v>43550</v>
      </c>
      <c r="D11" s="41" t="s">
        <v>15</v>
      </c>
      <c r="E11" s="7">
        <v>18620</v>
      </c>
      <c r="F11" s="20"/>
      <c r="G11" s="20"/>
      <c r="H11" s="73">
        <f>3.66-7+0.115</f>
        <v>-3.2249999999999996</v>
      </c>
      <c r="I11" s="23">
        <v>98</v>
      </c>
      <c r="J11" s="14">
        <v>96.2</v>
      </c>
      <c r="K11" s="24">
        <f>J11-I11</f>
        <v>-1.7999999999999972</v>
      </c>
      <c r="L11" s="10"/>
      <c r="M11" s="86" t="s">
        <v>131</v>
      </c>
    </row>
    <row r="12" spans="1:14" x14ac:dyDescent="0.2">
      <c r="A12" t="s">
        <v>125</v>
      </c>
      <c r="B12" t="s">
        <v>126</v>
      </c>
      <c r="C12" s="40">
        <v>43550</v>
      </c>
      <c r="D12" s="41" t="s">
        <v>21</v>
      </c>
      <c r="E12" s="42"/>
      <c r="F12">
        <v>150758</v>
      </c>
      <c r="G12">
        <v>521332</v>
      </c>
      <c r="H12" s="19">
        <v>2.3311999999999999</v>
      </c>
      <c r="I12" s="10"/>
      <c r="J12" s="10"/>
      <c r="K12" s="10"/>
      <c r="L12" s="10"/>
      <c r="M12" s="51" t="s">
        <v>76</v>
      </c>
    </row>
    <row r="13" spans="1:14" x14ac:dyDescent="0.2">
      <c r="A13" t="s">
        <v>125</v>
      </c>
      <c r="B13" t="s">
        <v>126</v>
      </c>
      <c r="C13" s="40">
        <v>43550</v>
      </c>
      <c r="D13" s="41" t="s">
        <v>17</v>
      </c>
      <c r="E13" s="7">
        <v>5494</v>
      </c>
      <c r="F13" s="20"/>
      <c r="G13" s="20"/>
      <c r="H13" s="19">
        <f>1.3249-2.967</f>
        <v>-1.6421000000000001</v>
      </c>
      <c r="I13" s="10"/>
      <c r="J13" s="10"/>
      <c r="K13" s="10"/>
      <c r="L13" s="10"/>
      <c r="M13" s="51"/>
    </row>
    <row r="14" spans="1:14" x14ac:dyDescent="0.2">
      <c r="A14" t="s">
        <v>125</v>
      </c>
      <c r="B14" t="s">
        <v>126</v>
      </c>
      <c r="C14" s="40">
        <v>43570</v>
      </c>
      <c r="D14" s="41" t="s">
        <v>21</v>
      </c>
      <c r="E14" s="42"/>
      <c r="F14">
        <v>150758</v>
      </c>
      <c r="G14">
        <v>521332</v>
      </c>
      <c r="H14" s="19">
        <v>2.3391000000000002</v>
      </c>
      <c r="I14" s="10"/>
      <c r="J14" s="10"/>
      <c r="K14" s="10"/>
      <c r="L14" s="10"/>
      <c r="M14" s="51"/>
    </row>
    <row r="15" spans="1:14" x14ac:dyDescent="0.2">
      <c r="A15" t="s">
        <v>125</v>
      </c>
      <c r="B15" t="s">
        <v>126</v>
      </c>
      <c r="C15" s="40">
        <v>43570</v>
      </c>
      <c r="D15" s="41" t="s">
        <v>17</v>
      </c>
      <c r="E15" s="7">
        <v>5494</v>
      </c>
      <c r="F15" s="20"/>
      <c r="G15" s="20"/>
      <c r="H15" s="19">
        <f>1.3233-2.967</f>
        <v>-1.6437000000000002</v>
      </c>
      <c r="I15" s="10"/>
      <c r="J15" s="10"/>
      <c r="K15" s="10"/>
      <c r="L15" s="10"/>
      <c r="M15" s="51"/>
    </row>
    <row r="16" spans="1:14" x14ac:dyDescent="0.2">
      <c r="A16" t="s">
        <v>125</v>
      </c>
      <c r="B16" t="s">
        <v>126</v>
      </c>
      <c r="C16" s="40">
        <v>43606</v>
      </c>
      <c r="D16" s="41" t="s">
        <v>21</v>
      </c>
      <c r="E16" s="42"/>
      <c r="F16">
        <v>150758</v>
      </c>
      <c r="G16">
        <v>521332</v>
      </c>
      <c r="H16" s="19">
        <v>2.3331</v>
      </c>
      <c r="I16" s="10"/>
      <c r="J16" s="10"/>
      <c r="K16" s="10"/>
      <c r="L16" s="10"/>
      <c r="M16" s="51"/>
    </row>
    <row r="17" spans="1:13" x14ac:dyDescent="0.2">
      <c r="A17" t="s">
        <v>125</v>
      </c>
      <c r="B17" t="s">
        <v>126</v>
      </c>
      <c r="C17" s="40">
        <v>43606</v>
      </c>
      <c r="D17" s="41" t="s">
        <v>17</v>
      </c>
      <c r="E17" s="7">
        <v>5494</v>
      </c>
      <c r="F17" s="20"/>
      <c r="G17" s="20"/>
      <c r="H17" s="19">
        <f>1.3389-2.967</f>
        <v>-1.6281000000000001</v>
      </c>
      <c r="I17" s="10"/>
      <c r="J17" s="10"/>
      <c r="K17" s="10"/>
      <c r="L17" s="10"/>
      <c r="M17" s="51" t="s">
        <v>29</v>
      </c>
    </row>
    <row r="18" spans="1:13" x14ac:dyDescent="0.2">
      <c r="A18" t="s">
        <v>125</v>
      </c>
      <c r="B18" t="s">
        <v>126</v>
      </c>
      <c r="C18" s="40">
        <v>43635</v>
      </c>
      <c r="D18" s="41" t="s">
        <v>23</v>
      </c>
      <c r="E18" s="42"/>
      <c r="F18" s="20"/>
      <c r="G18" s="20"/>
      <c r="H18" s="19">
        <v>-3.5169999999999999</v>
      </c>
      <c r="I18" s="10"/>
      <c r="J18" s="10"/>
      <c r="K18" s="10"/>
      <c r="L18" s="10"/>
      <c r="M18" s="51" t="s">
        <v>132</v>
      </c>
    </row>
    <row r="19" spans="1:13" x14ac:dyDescent="0.2">
      <c r="A19" t="s">
        <v>125</v>
      </c>
      <c r="B19" t="s">
        <v>126</v>
      </c>
      <c r="C19" s="40">
        <v>43635</v>
      </c>
      <c r="D19" s="41" t="s">
        <v>15</v>
      </c>
      <c r="E19" s="7">
        <v>18620</v>
      </c>
      <c r="F19" s="20"/>
      <c r="G19" s="20"/>
      <c r="H19" s="19">
        <f>H18+0.181</f>
        <v>-3.3359999999999999</v>
      </c>
      <c r="I19" s="23">
        <v>98</v>
      </c>
      <c r="J19" s="14">
        <v>96.2</v>
      </c>
      <c r="K19" s="24">
        <f>J19-I19</f>
        <v>-1.7999999999999972</v>
      </c>
      <c r="L19" s="10"/>
      <c r="M19" s="51"/>
    </row>
    <row r="20" spans="1:13" x14ac:dyDescent="0.2">
      <c r="A20" t="s">
        <v>125</v>
      </c>
      <c r="B20" t="s">
        <v>126</v>
      </c>
      <c r="C20" s="40">
        <v>43635</v>
      </c>
      <c r="D20" s="41" t="s">
        <v>21</v>
      </c>
      <c r="E20" s="42"/>
      <c r="F20">
        <v>150758</v>
      </c>
      <c r="G20">
        <v>521332</v>
      </c>
      <c r="H20" s="19">
        <v>2.3331</v>
      </c>
      <c r="I20" s="10"/>
      <c r="J20" s="10"/>
      <c r="K20" s="10"/>
      <c r="L20" s="10"/>
      <c r="M20" s="45">
        <v>2.3180999999999998</v>
      </c>
    </row>
    <row r="21" spans="1:13" x14ac:dyDescent="0.2">
      <c r="A21" t="s">
        <v>125</v>
      </c>
      <c r="B21" t="s">
        <v>126</v>
      </c>
      <c r="C21" s="40">
        <v>43635</v>
      </c>
      <c r="D21" s="41" t="s">
        <v>17</v>
      </c>
      <c r="E21" s="7">
        <v>5494</v>
      </c>
      <c r="F21" s="20"/>
      <c r="G21" s="20"/>
      <c r="H21" s="19">
        <f>1.3389-2.967</f>
        <v>-1.6281000000000001</v>
      </c>
      <c r="I21" s="10"/>
      <c r="J21" s="10"/>
      <c r="K21" s="10"/>
      <c r="L21" s="10"/>
      <c r="M21" s="45">
        <f>1.3206-2.967</f>
        <v>-1.6464000000000001</v>
      </c>
    </row>
    <row r="22" spans="1:13" x14ac:dyDescent="0.2">
      <c r="A22" t="s">
        <v>125</v>
      </c>
      <c r="B22" t="s">
        <v>126</v>
      </c>
      <c r="C22" s="40">
        <v>43663</v>
      </c>
      <c r="D22" s="41" t="s">
        <v>23</v>
      </c>
      <c r="E22" s="42"/>
      <c r="F22" s="20"/>
      <c r="G22" s="20"/>
      <c r="H22" s="19">
        <v>-3.4660000000000002</v>
      </c>
      <c r="I22" s="10"/>
      <c r="J22" s="10"/>
      <c r="K22" s="10"/>
      <c r="L22" s="10"/>
      <c r="M22" s="46">
        <v>-3.4660000000000002</v>
      </c>
    </row>
    <row r="23" spans="1:13" x14ac:dyDescent="0.2">
      <c r="A23" t="s">
        <v>125</v>
      </c>
      <c r="B23" t="s">
        <v>126</v>
      </c>
      <c r="C23" s="40">
        <v>43663</v>
      </c>
      <c r="D23" s="41" t="s">
        <v>15</v>
      </c>
      <c r="E23" s="7">
        <v>18620</v>
      </c>
      <c r="F23" s="20"/>
      <c r="G23" s="20"/>
      <c r="H23" s="19">
        <f>H22+0.181</f>
        <v>-3.2850000000000001</v>
      </c>
      <c r="I23" s="23">
        <v>98</v>
      </c>
      <c r="J23" s="14">
        <v>96.2</v>
      </c>
      <c r="K23" s="24">
        <f>J23-I23</f>
        <v>-1.7999999999999972</v>
      </c>
      <c r="L23" s="10"/>
      <c r="M23" s="45">
        <f>M22+0.181</f>
        <v>-3.2850000000000001</v>
      </c>
    </row>
    <row r="24" spans="1:13" x14ac:dyDescent="0.2">
      <c r="A24" t="s">
        <v>125</v>
      </c>
      <c r="B24" t="s">
        <v>126</v>
      </c>
      <c r="C24" s="40">
        <v>43663</v>
      </c>
      <c r="D24" s="41" t="s">
        <v>21</v>
      </c>
      <c r="E24" s="42"/>
      <c r="F24">
        <v>150758</v>
      </c>
      <c r="G24">
        <v>521332</v>
      </c>
      <c r="H24" s="19">
        <v>2.3331</v>
      </c>
      <c r="I24" s="10"/>
      <c r="J24" s="10"/>
      <c r="K24" s="10"/>
      <c r="L24" s="10"/>
      <c r="M24" s="45">
        <v>2.3506</v>
      </c>
    </row>
    <row r="25" spans="1:13" x14ac:dyDescent="0.2">
      <c r="A25" t="s">
        <v>125</v>
      </c>
      <c r="B25" t="s">
        <v>126</v>
      </c>
      <c r="C25" s="40">
        <v>43663</v>
      </c>
      <c r="D25" s="41" t="s">
        <v>17</v>
      </c>
      <c r="E25" s="7">
        <v>5494</v>
      </c>
      <c r="F25" s="20"/>
      <c r="G25" s="20"/>
      <c r="H25" s="19">
        <f>1.3389-2.967</f>
        <v>-1.6281000000000001</v>
      </c>
      <c r="I25" s="10"/>
      <c r="J25" s="10"/>
      <c r="K25" s="10"/>
      <c r="L25" s="10"/>
      <c r="M25" s="45">
        <f>1.3686-2.967</f>
        <v>-1.5984</v>
      </c>
    </row>
    <row r="26" spans="1:13" x14ac:dyDescent="0.2">
      <c r="A26" t="s">
        <v>125</v>
      </c>
      <c r="B26" t="s">
        <v>126</v>
      </c>
      <c r="C26" s="40">
        <v>43690</v>
      </c>
      <c r="D26" s="41" t="s">
        <v>23</v>
      </c>
      <c r="E26" s="42"/>
      <c r="F26" s="20"/>
      <c r="G26" s="20"/>
      <c r="H26" s="19">
        <v>-3.51</v>
      </c>
      <c r="I26" s="10"/>
      <c r="J26" s="10"/>
      <c r="K26" s="10"/>
      <c r="L26" s="10"/>
      <c r="M26" s="46"/>
    </row>
    <row r="27" spans="1:13" x14ac:dyDescent="0.2">
      <c r="A27" t="s">
        <v>125</v>
      </c>
      <c r="B27" t="s">
        <v>126</v>
      </c>
      <c r="C27" s="40">
        <v>43690</v>
      </c>
      <c r="D27" s="41" t="s">
        <v>15</v>
      </c>
      <c r="E27" s="7">
        <v>18620</v>
      </c>
      <c r="F27" s="20"/>
      <c r="G27" s="20"/>
      <c r="H27" s="19">
        <f>H26+0.181</f>
        <v>-3.3289999999999997</v>
      </c>
      <c r="I27" s="23">
        <v>98</v>
      </c>
      <c r="J27" s="14">
        <v>96.2</v>
      </c>
      <c r="K27" s="24">
        <f>J27-I27</f>
        <v>-1.7999999999999972</v>
      </c>
      <c r="L27" s="10"/>
      <c r="M27" s="45"/>
    </row>
    <row r="28" spans="1:13" x14ac:dyDescent="0.2">
      <c r="A28" t="s">
        <v>125</v>
      </c>
      <c r="B28" t="s">
        <v>126</v>
      </c>
      <c r="C28" s="40">
        <v>43690</v>
      </c>
      <c r="D28" s="41" t="s">
        <v>21</v>
      </c>
      <c r="E28" s="42"/>
      <c r="F28">
        <v>150758</v>
      </c>
      <c r="G28">
        <v>521332</v>
      </c>
      <c r="H28" s="19">
        <v>2.35</v>
      </c>
      <c r="I28" s="10"/>
      <c r="J28" s="10"/>
      <c r="K28" s="10"/>
      <c r="L28" s="10"/>
      <c r="M28" s="45"/>
    </row>
    <row r="29" spans="1:13" x14ac:dyDescent="0.2">
      <c r="A29" t="s">
        <v>125</v>
      </c>
      <c r="B29" t="s">
        <v>126</v>
      </c>
      <c r="C29" s="40">
        <v>43690</v>
      </c>
      <c r="D29" s="41" t="s">
        <v>17</v>
      </c>
      <c r="E29" s="7">
        <v>5494</v>
      </c>
      <c r="F29" s="20"/>
      <c r="G29" s="20"/>
      <c r="H29" s="19">
        <f>1.36-2.967</f>
        <v>-1.607</v>
      </c>
      <c r="I29" s="10"/>
      <c r="J29" s="10"/>
      <c r="K29" s="10"/>
      <c r="L29" s="10"/>
      <c r="M29" s="45"/>
    </row>
    <row r="30" spans="1:13" x14ac:dyDescent="0.2">
      <c r="A30" t="s">
        <v>125</v>
      </c>
      <c r="B30" t="s">
        <v>126</v>
      </c>
      <c r="C30" s="40">
        <v>43718</v>
      </c>
      <c r="D30" s="41" t="s">
        <v>23</v>
      </c>
      <c r="E30" s="42"/>
      <c r="F30" s="20"/>
      <c r="G30" s="20"/>
      <c r="H30" s="10">
        <v>-3.4660000000000002</v>
      </c>
      <c r="I30" s="10"/>
      <c r="J30" s="10"/>
      <c r="K30" s="10"/>
      <c r="L30" s="10"/>
      <c r="M30" s="51" t="s">
        <v>133</v>
      </c>
    </row>
    <row r="31" spans="1:13" x14ac:dyDescent="0.2">
      <c r="A31" t="s">
        <v>125</v>
      </c>
      <c r="B31" t="s">
        <v>126</v>
      </c>
      <c r="C31" s="40">
        <v>43718</v>
      </c>
      <c r="D31" s="41" t="s">
        <v>15</v>
      </c>
      <c r="E31" s="7">
        <v>18620</v>
      </c>
      <c r="F31" s="20"/>
      <c r="G31" s="20"/>
      <c r="H31" s="19">
        <f>H30+0.181</f>
        <v>-3.2850000000000001</v>
      </c>
      <c r="I31" s="23">
        <v>98</v>
      </c>
      <c r="J31" s="14">
        <v>96.2</v>
      </c>
      <c r="K31" s="24">
        <f>J31-I31</f>
        <v>-1.7999999999999972</v>
      </c>
      <c r="L31" s="10"/>
      <c r="M31" s="51"/>
    </row>
    <row r="32" spans="1:13" x14ac:dyDescent="0.2">
      <c r="A32" t="s">
        <v>125</v>
      </c>
      <c r="B32" t="s">
        <v>126</v>
      </c>
      <c r="C32" s="40">
        <v>43718</v>
      </c>
      <c r="D32" s="41" t="s">
        <v>21</v>
      </c>
      <c r="E32" s="42"/>
      <c r="F32">
        <v>150758</v>
      </c>
      <c r="G32">
        <v>521332</v>
      </c>
      <c r="H32" s="19">
        <v>2.35</v>
      </c>
      <c r="I32" s="10"/>
      <c r="J32" s="10"/>
      <c r="K32" s="10"/>
      <c r="L32" s="10"/>
      <c r="M32" s="45">
        <v>2.3586999999999998</v>
      </c>
    </row>
    <row r="33" spans="1:13" x14ac:dyDescent="0.2">
      <c r="A33" t="s">
        <v>125</v>
      </c>
      <c r="B33" t="s">
        <v>126</v>
      </c>
      <c r="C33" s="40">
        <v>43718</v>
      </c>
      <c r="D33" s="41" t="s">
        <v>17</v>
      </c>
      <c r="E33" s="7">
        <v>5494</v>
      </c>
      <c r="F33" s="20"/>
      <c r="G33" s="20"/>
      <c r="H33" s="19">
        <f>1.36-2.967</f>
        <v>-1.607</v>
      </c>
      <c r="I33" s="10"/>
      <c r="J33" s="10"/>
      <c r="K33" s="10"/>
      <c r="L33" s="10"/>
      <c r="M33" s="45">
        <f>1.3506-2.967</f>
        <v>-1.6164000000000001</v>
      </c>
    </row>
    <row r="34" spans="1:13" x14ac:dyDescent="0.2">
      <c r="A34" t="s">
        <v>125</v>
      </c>
      <c r="B34" t="s">
        <v>126</v>
      </c>
      <c r="C34" s="40">
        <v>43745</v>
      </c>
      <c r="D34" s="41" t="s">
        <v>23</v>
      </c>
      <c r="E34" s="42"/>
      <c r="F34" s="20"/>
      <c r="G34" s="20"/>
      <c r="H34" s="55">
        <v>-3.5634999999999999</v>
      </c>
      <c r="I34" s="10"/>
      <c r="J34" s="10"/>
      <c r="K34" s="10"/>
      <c r="L34" s="10"/>
      <c r="M34" s="54">
        <v>-3.5634999999999999</v>
      </c>
    </row>
    <row r="35" spans="1:13" x14ac:dyDescent="0.2">
      <c r="A35" t="s">
        <v>125</v>
      </c>
      <c r="B35" t="s">
        <v>126</v>
      </c>
      <c r="C35" s="40">
        <v>43745</v>
      </c>
      <c r="D35" s="41" t="s">
        <v>15</v>
      </c>
      <c r="E35" s="7">
        <v>18620</v>
      </c>
      <c r="F35" s="20"/>
      <c r="G35" s="20"/>
      <c r="H35" s="56">
        <f>H34+0.181</f>
        <v>-3.3824999999999998</v>
      </c>
      <c r="I35" s="23">
        <v>98</v>
      </c>
      <c r="J35" s="14">
        <v>96.2</v>
      </c>
      <c r="K35" s="24">
        <f>J35-I35</f>
        <v>-1.7999999999999972</v>
      </c>
      <c r="L35" s="10"/>
      <c r="M35" s="44">
        <f>M34+0.181</f>
        <v>-3.3824999999999998</v>
      </c>
    </row>
    <row r="36" spans="1:13" x14ac:dyDescent="0.2">
      <c r="A36" t="s">
        <v>125</v>
      </c>
      <c r="B36" t="s">
        <v>126</v>
      </c>
      <c r="C36" s="40">
        <v>43745</v>
      </c>
      <c r="D36" s="41" t="s">
        <v>21</v>
      </c>
      <c r="E36" s="42"/>
      <c r="F36" s="20">
        <v>150759</v>
      </c>
      <c r="G36" s="20">
        <v>521333</v>
      </c>
      <c r="H36" s="56">
        <v>2.3172000000000001</v>
      </c>
      <c r="I36" s="10"/>
      <c r="J36" s="10"/>
      <c r="K36" s="10"/>
      <c r="L36" s="10"/>
      <c r="M36" s="44">
        <v>2.3172000000000001</v>
      </c>
    </row>
    <row r="37" spans="1:13" x14ac:dyDescent="0.2">
      <c r="A37" t="s">
        <v>125</v>
      </c>
      <c r="B37" t="s">
        <v>126</v>
      </c>
      <c r="C37" s="40">
        <v>43745</v>
      </c>
      <c r="D37" s="41" t="s">
        <v>17</v>
      </c>
      <c r="E37" s="7">
        <v>5494</v>
      </c>
      <c r="F37" s="20"/>
      <c r="G37" s="20"/>
      <c r="H37" s="56">
        <f>1.3109-2.967</f>
        <v>-1.6561000000000001</v>
      </c>
      <c r="I37" s="10"/>
      <c r="J37" s="10"/>
      <c r="K37" s="10"/>
      <c r="L37" s="10"/>
      <c r="M37" s="44">
        <f>1.3109-2.967</f>
        <v>-1.6561000000000001</v>
      </c>
    </row>
    <row r="38" spans="1:13" x14ac:dyDescent="0.2">
      <c r="A38" t="s">
        <v>125</v>
      </c>
      <c r="B38" t="s">
        <v>126</v>
      </c>
      <c r="C38" s="40">
        <v>43781</v>
      </c>
      <c r="D38" s="41" t="s">
        <v>23</v>
      </c>
      <c r="E38" s="42"/>
      <c r="F38" s="20"/>
      <c r="G38" s="20"/>
      <c r="H38" s="55">
        <v>-3.5137999999999998</v>
      </c>
      <c r="I38" s="10"/>
      <c r="J38" s="10"/>
      <c r="K38" s="10"/>
      <c r="L38" s="10"/>
      <c r="M38" s="54">
        <v>-3.5137999999999998</v>
      </c>
    </row>
    <row r="39" spans="1:13" x14ac:dyDescent="0.2">
      <c r="A39" t="s">
        <v>125</v>
      </c>
      <c r="B39" t="s">
        <v>126</v>
      </c>
      <c r="C39" s="40">
        <v>43781</v>
      </c>
      <c r="D39" s="41" t="s">
        <v>15</v>
      </c>
      <c r="E39" s="7">
        <v>18620</v>
      </c>
      <c r="F39" s="20"/>
      <c r="G39" s="20"/>
      <c r="H39" s="56">
        <f>H38+0.181</f>
        <v>-3.3327999999999998</v>
      </c>
      <c r="I39" s="23">
        <v>98</v>
      </c>
      <c r="J39" s="14">
        <v>96.2</v>
      </c>
      <c r="K39" s="24">
        <f>J39-I39</f>
        <v>-1.7999999999999972</v>
      </c>
      <c r="L39" s="10"/>
      <c r="M39" s="44">
        <f>M38+0.181</f>
        <v>-3.3327999999999998</v>
      </c>
    </row>
    <row r="40" spans="1:13" x14ac:dyDescent="0.2">
      <c r="A40" t="s">
        <v>125</v>
      </c>
      <c r="B40" t="s">
        <v>126</v>
      </c>
      <c r="C40" s="40">
        <v>43781</v>
      </c>
      <c r="D40" s="41" t="s">
        <v>21</v>
      </c>
      <c r="E40" s="42"/>
      <c r="F40" s="20">
        <v>150759</v>
      </c>
      <c r="G40" s="20">
        <v>521333</v>
      </c>
      <c r="H40" s="56">
        <v>2.3531</v>
      </c>
      <c r="I40" s="10"/>
      <c r="J40" s="10"/>
      <c r="K40" s="10"/>
      <c r="L40" s="10"/>
      <c r="M40" s="44">
        <v>2.3531</v>
      </c>
    </row>
    <row r="41" spans="1:13" x14ac:dyDescent="0.2">
      <c r="A41" t="s">
        <v>125</v>
      </c>
      <c r="B41" t="s">
        <v>126</v>
      </c>
      <c r="C41" s="40">
        <v>43781</v>
      </c>
      <c r="D41" s="41" t="s">
        <v>17</v>
      </c>
      <c r="E41" s="7">
        <v>5494</v>
      </c>
      <c r="F41" s="20"/>
      <c r="G41" s="20"/>
      <c r="H41" s="56">
        <f>1.3531-2.967</f>
        <v>-1.6139000000000001</v>
      </c>
      <c r="I41" s="10"/>
      <c r="J41" s="10"/>
      <c r="K41" s="10"/>
      <c r="L41" s="10"/>
      <c r="M41" s="44">
        <f>1.3531-2.967</f>
        <v>-1.6139000000000001</v>
      </c>
    </row>
    <row r="42" spans="1:13" x14ac:dyDescent="0.2">
      <c r="A42" t="s">
        <v>125</v>
      </c>
      <c r="B42" t="s">
        <v>126</v>
      </c>
      <c r="C42" s="40">
        <v>43802</v>
      </c>
      <c r="D42" s="41" t="s">
        <v>23</v>
      </c>
      <c r="E42" s="42"/>
      <c r="F42" s="20"/>
      <c r="G42" s="20"/>
      <c r="H42" s="55">
        <v>-3.5137999999999998</v>
      </c>
      <c r="I42" s="10"/>
      <c r="J42" s="10"/>
      <c r="K42" s="10"/>
      <c r="L42" s="10"/>
      <c r="M42" s="54">
        <v>-3.5283000000000002</v>
      </c>
    </row>
    <row r="43" spans="1:13" x14ac:dyDescent="0.2">
      <c r="A43" t="s">
        <v>125</v>
      </c>
      <c r="B43" t="s">
        <v>126</v>
      </c>
      <c r="C43" s="40">
        <v>43802</v>
      </c>
      <c r="D43" s="41" t="s">
        <v>15</v>
      </c>
      <c r="E43" s="7">
        <v>18620</v>
      </c>
      <c r="F43" s="20"/>
      <c r="G43" s="20"/>
      <c r="H43" s="56">
        <f>H42+0.181</f>
        <v>-3.3327999999999998</v>
      </c>
      <c r="I43" s="23">
        <v>98</v>
      </c>
      <c r="J43" s="14">
        <v>96.2</v>
      </c>
      <c r="K43" s="24">
        <f>J43-I43</f>
        <v>-1.7999999999999972</v>
      </c>
      <c r="L43" s="10"/>
      <c r="M43" s="44">
        <f>M42+0.181</f>
        <v>-3.3473000000000002</v>
      </c>
    </row>
    <row r="44" spans="1:13" x14ac:dyDescent="0.2">
      <c r="A44" t="s">
        <v>125</v>
      </c>
      <c r="B44" t="s">
        <v>126</v>
      </c>
      <c r="C44" s="40">
        <v>43802</v>
      </c>
      <c r="D44" s="41" t="s">
        <v>21</v>
      </c>
      <c r="E44" s="42"/>
      <c r="F44" s="20">
        <v>150759</v>
      </c>
      <c r="G44" s="20">
        <v>521333</v>
      </c>
      <c r="H44" s="56">
        <v>2.3531</v>
      </c>
      <c r="I44" s="10"/>
      <c r="J44" s="10"/>
      <c r="K44" s="10"/>
      <c r="L44" s="10"/>
      <c r="M44" s="44">
        <v>2.35</v>
      </c>
    </row>
    <row r="45" spans="1:13" x14ac:dyDescent="0.2">
      <c r="A45" t="s">
        <v>125</v>
      </c>
      <c r="B45" t="s">
        <v>126</v>
      </c>
      <c r="C45" s="40">
        <v>43802</v>
      </c>
      <c r="D45" s="41" t="s">
        <v>17</v>
      </c>
      <c r="E45" s="7">
        <v>5494</v>
      </c>
      <c r="F45" s="20"/>
      <c r="G45" s="20"/>
      <c r="H45" s="56">
        <f>1.3531-2.967</f>
        <v>-1.6139000000000001</v>
      </c>
      <c r="I45" s="10"/>
      <c r="J45" s="10"/>
      <c r="K45" s="10"/>
      <c r="L45" s="10"/>
      <c r="M45" s="44">
        <f>1.3427-2.967</f>
        <v>-1.6243000000000001</v>
      </c>
    </row>
    <row r="46" spans="1:13" x14ac:dyDescent="0.2">
      <c r="A46" t="s">
        <v>125</v>
      </c>
      <c r="B46" t="s">
        <v>126</v>
      </c>
      <c r="C46" s="40">
        <v>43838</v>
      </c>
      <c r="D46" s="41" t="s">
        <v>23</v>
      </c>
      <c r="E46" s="42"/>
      <c r="F46" s="20"/>
      <c r="G46" s="20"/>
      <c r="H46" s="55">
        <v>-3.5137999999999998</v>
      </c>
      <c r="I46" s="10"/>
      <c r="J46" s="10"/>
      <c r="K46" s="10"/>
      <c r="L46" s="10"/>
      <c r="M46" s="89" t="s">
        <v>134</v>
      </c>
    </row>
    <row r="47" spans="1:13" x14ac:dyDescent="0.2">
      <c r="A47" t="s">
        <v>125</v>
      </c>
      <c r="B47" t="s">
        <v>126</v>
      </c>
      <c r="C47" s="40">
        <v>43838</v>
      </c>
      <c r="D47" s="41" t="s">
        <v>15</v>
      </c>
      <c r="E47" s="7">
        <v>18620</v>
      </c>
      <c r="F47" s="20"/>
      <c r="G47" s="20"/>
      <c r="H47" s="56">
        <f>H46+0.181</f>
        <v>-3.3327999999999998</v>
      </c>
      <c r="I47" s="23">
        <v>98</v>
      </c>
      <c r="J47" s="14">
        <v>96.2</v>
      </c>
      <c r="K47" s="24">
        <f>J47-I47</f>
        <v>-1.7999999999999972</v>
      </c>
      <c r="L47" s="10"/>
      <c r="M47" s="44"/>
    </row>
    <row r="48" spans="1:13" x14ac:dyDescent="0.2">
      <c r="A48" t="s">
        <v>125</v>
      </c>
      <c r="B48" t="s">
        <v>126</v>
      </c>
      <c r="C48" s="40">
        <v>43838</v>
      </c>
      <c r="D48" s="41" t="s">
        <v>21</v>
      </c>
      <c r="E48" s="42"/>
      <c r="F48" s="20">
        <v>150759</v>
      </c>
      <c r="G48" s="20">
        <v>521333</v>
      </c>
      <c r="H48" s="56">
        <v>2.3361000000000001</v>
      </c>
      <c r="I48" s="10"/>
      <c r="J48" s="10"/>
      <c r="K48" s="10"/>
      <c r="L48" s="10"/>
      <c r="M48" s="44">
        <v>2.3361000000000001</v>
      </c>
    </row>
    <row r="49" spans="1:14" x14ac:dyDescent="0.2">
      <c r="A49" t="s">
        <v>125</v>
      </c>
      <c r="B49" t="s">
        <v>126</v>
      </c>
      <c r="C49" s="40">
        <v>43838</v>
      </c>
      <c r="D49" s="41" t="s">
        <v>17</v>
      </c>
      <c r="E49" s="7">
        <v>5494</v>
      </c>
      <c r="F49" s="20"/>
      <c r="G49" s="20"/>
      <c r="H49" s="56">
        <f>1.3531-2.967</f>
        <v>-1.6139000000000001</v>
      </c>
      <c r="I49" s="10"/>
      <c r="J49" s="10"/>
      <c r="K49" s="10"/>
      <c r="L49" s="10"/>
      <c r="M49" s="44">
        <f>1.3523-2.967</f>
        <v>-1.6147</v>
      </c>
    </row>
    <row r="50" spans="1:14" x14ac:dyDescent="0.2">
      <c r="A50" t="s">
        <v>125</v>
      </c>
      <c r="B50" t="s">
        <v>126</v>
      </c>
      <c r="C50" s="40">
        <v>43857</v>
      </c>
      <c r="D50" s="41" t="s">
        <v>23</v>
      </c>
      <c r="E50" s="42"/>
      <c r="F50" s="20"/>
      <c r="G50" s="20"/>
      <c r="H50" s="56">
        <v>-3.4981</v>
      </c>
      <c r="I50" s="10"/>
      <c r="J50" s="10"/>
      <c r="K50" s="10"/>
      <c r="L50" s="10"/>
      <c r="M50" s="54">
        <v>-3.4981</v>
      </c>
    </row>
    <row r="51" spans="1:14" x14ac:dyDescent="0.2">
      <c r="A51" t="s">
        <v>125</v>
      </c>
      <c r="B51" t="s">
        <v>126</v>
      </c>
      <c r="C51" s="40">
        <v>43857</v>
      </c>
      <c r="D51" s="41" t="s">
        <v>15</v>
      </c>
      <c r="E51" s="7">
        <v>18620</v>
      </c>
      <c r="F51" s="20"/>
      <c r="G51" s="20"/>
      <c r="H51" s="56">
        <f>H50+0.181</f>
        <v>-3.3170999999999999</v>
      </c>
      <c r="I51" s="23">
        <v>98</v>
      </c>
      <c r="J51" s="14">
        <v>96.2</v>
      </c>
      <c r="K51" s="24">
        <f>J51-I51</f>
        <v>-1.7999999999999972</v>
      </c>
      <c r="L51" s="10"/>
      <c r="M51" s="44">
        <f>M50+0.181</f>
        <v>-3.3170999999999999</v>
      </c>
    </row>
    <row r="52" spans="1:14" x14ac:dyDescent="0.2">
      <c r="A52" t="s">
        <v>125</v>
      </c>
      <c r="B52" t="s">
        <v>126</v>
      </c>
      <c r="C52" s="40">
        <v>43857</v>
      </c>
      <c r="D52" s="41" t="s">
        <v>21</v>
      </c>
      <c r="E52" s="42"/>
      <c r="F52" s="20">
        <v>150759</v>
      </c>
      <c r="G52" s="20">
        <v>521333</v>
      </c>
      <c r="H52" s="56">
        <v>2.3361000000000001</v>
      </c>
      <c r="I52" s="10"/>
      <c r="J52" s="10"/>
      <c r="K52" s="10"/>
      <c r="L52" s="10"/>
      <c r="M52" s="44">
        <v>2.3254000000000001</v>
      </c>
    </row>
    <row r="53" spans="1:14" x14ac:dyDescent="0.2">
      <c r="A53" t="s">
        <v>125</v>
      </c>
      <c r="B53" t="s">
        <v>126</v>
      </c>
      <c r="C53" s="40">
        <v>43857</v>
      </c>
      <c r="D53" s="41" t="s">
        <v>17</v>
      </c>
      <c r="E53" s="7">
        <v>5494</v>
      </c>
      <c r="F53" s="20"/>
      <c r="G53" s="20"/>
      <c r="H53" s="56">
        <v>-1.6361000000000001</v>
      </c>
      <c r="I53" s="10"/>
      <c r="J53" s="10"/>
      <c r="K53" s="10"/>
      <c r="L53" s="10"/>
      <c r="M53" s="102" t="s">
        <v>135</v>
      </c>
    </row>
    <row r="54" spans="1:14" s="39" customFormat="1" x14ac:dyDescent="0.2">
      <c r="A54" s="20" t="s">
        <v>125</v>
      </c>
      <c r="B54" s="20" t="s">
        <v>126</v>
      </c>
      <c r="C54" s="40">
        <v>43887</v>
      </c>
      <c r="D54" s="41" t="s">
        <v>23</v>
      </c>
      <c r="E54" s="42"/>
      <c r="F54" s="20"/>
      <c r="G54" s="20"/>
      <c r="H54" s="56">
        <v>-3.5569000000000002</v>
      </c>
      <c r="I54" s="19"/>
      <c r="J54" s="19"/>
      <c r="K54" s="19"/>
      <c r="L54" s="19"/>
      <c r="M54" s="44">
        <v>-3.5569000000000002</v>
      </c>
      <c r="N54" s="60"/>
    </row>
    <row r="55" spans="1:14" s="39" customFormat="1" x14ac:dyDescent="0.2">
      <c r="A55" s="20" t="s">
        <v>125</v>
      </c>
      <c r="B55" s="20" t="s">
        <v>126</v>
      </c>
      <c r="C55" s="40">
        <v>43887</v>
      </c>
      <c r="D55" s="41" t="s">
        <v>15</v>
      </c>
      <c r="E55" s="42">
        <v>18620</v>
      </c>
      <c r="F55" s="20"/>
      <c r="G55" s="20"/>
      <c r="H55" s="56">
        <v>-3.3170999999999999</v>
      </c>
      <c r="I55" s="35">
        <v>98</v>
      </c>
      <c r="J55" s="60">
        <v>96.2</v>
      </c>
      <c r="K55" s="84">
        <f>J55-I55</f>
        <v>-1.7999999999999972</v>
      </c>
      <c r="L55" s="19"/>
      <c r="M55" s="44">
        <f>M54+0.181</f>
        <v>-3.3759000000000001</v>
      </c>
      <c r="N55" s="60"/>
    </row>
    <row r="56" spans="1:14" s="39" customFormat="1" x14ac:dyDescent="0.2">
      <c r="A56" s="20" t="s">
        <v>125</v>
      </c>
      <c r="B56" s="20" t="s">
        <v>126</v>
      </c>
      <c r="C56" s="40">
        <v>43887</v>
      </c>
      <c r="D56" s="41" t="s">
        <v>21</v>
      </c>
      <c r="E56" s="42"/>
      <c r="F56" s="20">
        <v>150759</v>
      </c>
      <c r="G56" s="20">
        <v>521333</v>
      </c>
      <c r="H56" s="56">
        <v>2.3569</v>
      </c>
      <c r="I56" s="19"/>
      <c r="J56" s="19"/>
      <c r="K56" s="19"/>
      <c r="L56" s="19"/>
      <c r="M56" s="44">
        <v>2.3569</v>
      </c>
      <c r="N56" s="60"/>
    </row>
    <row r="57" spans="1:14" s="39" customFormat="1" x14ac:dyDescent="0.2">
      <c r="A57" s="20" t="s">
        <v>125</v>
      </c>
      <c r="B57" s="20" t="s">
        <v>126</v>
      </c>
      <c r="C57" s="40">
        <v>43887</v>
      </c>
      <c r="D57" s="41" t="s">
        <v>17</v>
      </c>
      <c r="E57" s="42">
        <v>5494</v>
      </c>
      <c r="F57" s="20"/>
      <c r="G57" s="20"/>
      <c r="H57" s="56">
        <v>-1.6361000000000001</v>
      </c>
      <c r="I57" s="19"/>
      <c r="J57" s="19"/>
      <c r="K57" s="19"/>
      <c r="L57" s="19"/>
      <c r="M57" s="44">
        <f>1.3453-2.967</f>
        <v>-1.6217000000000001</v>
      </c>
      <c r="N57" s="60"/>
    </row>
    <row r="58" spans="1:14" x14ac:dyDescent="0.2">
      <c r="A58" s="20" t="s">
        <v>125</v>
      </c>
      <c r="B58" s="20" t="s">
        <v>126</v>
      </c>
      <c r="C58" s="40">
        <v>43915</v>
      </c>
      <c r="D58" s="41" t="s">
        <v>23</v>
      </c>
      <c r="E58" s="42"/>
      <c r="F58" s="20"/>
      <c r="G58" s="20"/>
      <c r="H58" s="56">
        <v>-3.5533000000000001</v>
      </c>
      <c r="I58" s="19"/>
      <c r="J58" s="19"/>
      <c r="K58" s="19"/>
      <c r="L58" s="19"/>
      <c r="M58" s="44">
        <v>-3.5533000000000001</v>
      </c>
    </row>
    <row r="59" spans="1:14" x14ac:dyDescent="0.2">
      <c r="A59" s="20" t="s">
        <v>125</v>
      </c>
      <c r="B59" s="20" t="s">
        <v>126</v>
      </c>
      <c r="C59" s="40">
        <v>43915</v>
      </c>
      <c r="D59" s="41" t="s">
        <v>15</v>
      </c>
      <c r="E59" s="42">
        <v>18620</v>
      </c>
      <c r="F59" s="20"/>
      <c r="G59" s="20"/>
      <c r="H59" s="56">
        <v>-3.3170999999999999</v>
      </c>
      <c r="I59" s="35">
        <v>98</v>
      </c>
      <c r="J59" s="60">
        <v>96.2</v>
      </c>
      <c r="K59" s="84">
        <f>J59-I59</f>
        <v>-1.7999999999999972</v>
      </c>
      <c r="L59" s="19"/>
      <c r="M59" s="50" t="s">
        <v>42</v>
      </c>
    </row>
    <row r="60" spans="1:14" x14ac:dyDescent="0.2">
      <c r="A60" s="20" t="s">
        <v>125</v>
      </c>
      <c r="B60" s="20" t="s">
        <v>126</v>
      </c>
      <c r="C60" s="40">
        <v>43915</v>
      </c>
      <c r="D60" s="41" t="s">
        <v>21</v>
      </c>
      <c r="E60" s="42"/>
      <c r="F60" s="20">
        <v>150759</v>
      </c>
      <c r="G60" s="20">
        <v>521333</v>
      </c>
      <c r="H60" s="56">
        <v>2.3569</v>
      </c>
      <c r="I60" s="19"/>
      <c r="J60" s="19"/>
      <c r="K60" s="19"/>
      <c r="L60" s="19"/>
      <c r="M60" s="44">
        <v>2.3353999999999999</v>
      </c>
    </row>
    <row r="61" spans="1:14" x14ac:dyDescent="0.2">
      <c r="A61" s="20" t="s">
        <v>125</v>
      </c>
      <c r="B61" s="20" t="s">
        <v>126</v>
      </c>
      <c r="C61" s="40">
        <v>43915</v>
      </c>
      <c r="D61" s="41" t="s">
        <v>17</v>
      </c>
      <c r="E61" s="42">
        <v>5494</v>
      </c>
      <c r="F61" s="20"/>
      <c r="G61" s="20"/>
      <c r="H61" s="56">
        <v>-1.6361000000000001</v>
      </c>
      <c r="I61" s="19"/>
      <c r="J61" s="19"/>
      <c r="K61" s="19"/>
      <c r="L61" s="19"/>
      <c r="M61" s="44">
        <f>1.3499-2.967</f>
        <v>-1.6171</v>
      </c>
    </row>
    <row r="62" spans="1:14" x14ac:dyDescent="0.2">
      <c r="A62" s="20" t="s">
        <v>125</v>
      </c>
      <c r="B62" s="20" t="s">
        <v>126</v>
      </c>
      <c r="C62" s="40">
        <v>43942</v>
      </c>
      <c r="D62" s="41" t="s">
        <v>23</v>
      </c>
      <c r="E62" s="42"/>
      <c r="F62" s="20"/>
      <c r="G62" s="20"/>
      <c r="H62" s="56">
        <v>-3.5583</v>
      </c>
      <c r="I62" s="19"/>
      <c r="J62" s="19"/>
      <c r="K62" s="19"/>
      <c r="L62" s="19"/>
      <c r="M62" s="44">
        <v>-3.5583</v>
      </c>
    </row>
    <row r="63" spans="1:14" x14ac:dyDescent="0.2">
      <c r="A63" s="20" t="s">
        <v>125</v>
      </c>
      <c r="B63" s="20" t="s">
        <v>126</v>
      </c>
      <c r="C63" s="40">
        <v>43942</v>
      </c>
      <c r="D63" s="41" t="s">
        <v>15</v>
      </c>
      <c r="E63" s="42">
        <v>18620</v>
      </c>
      <c r="F63" s="20"/>
      <c r="G63" s="20"/>
      <c r="H63" s="56">
        <v>-3.3170999999999999</v>
      </c>
      <c r="I63" s="35">
        <v>98</v>
      </c>
      <c r="J63" s="60">
        <v>96.2</v>
      </c>
      <c r="K63" s="84">
        <f>J63-I63</f>
        <v>-1.7999999999999972</v>
      </c>
      <c r="L63" s="19"/>
      <c r="M63" s="50" t="s">
        <v>42</v>
      </c>
    </row>
    <row r="64" spans="1:14" x14ac:dyDescent="0.2">
      <c r="A64" s="20" t="s">
        <v>125</v>
      </c>
      <c r="B64" s="20" t="s">
        <v>126</v>
      </c>
      <c r="C64" s="40">
        <v>43942</v>
      </c>
      <c r="D64" s="41" t="s">
        <v>21</v>
      </c>
      <c r="E64" s="42"/>
      <c r="F64" s="20">
        <v>150759</v>
      </c>
      <c r="G64" s="20">
        <v>521333</v>
      </c>
      <c r="H64" s="56">
        <v>2.3050999999999999</v>
      </c>
      <c r="I64" s="19"/>
      <c r="J64" s="19"/>
      <c r="K64" s="19"/>
      <c r="L64" s="19"/>
      <c r="M64" s="44">
        <v>2.3050999999999999</v>
      </c>
    </row>
    <row r="65" spans="1:13" x14ac:dyDescent="0.2">
      <c r="A65" s="20" t="s">
        <v>125</v>
      </c>
      <c r="B65" s="20" t="s">
        <v>126</v>
      </c>
      <c r="C65" s="40">
        <v>43942</v>
      </c>
      <c r="D65" s="41" t="s">
        <v>17</v>
      </c>
      <c r="E65" s="42">
        <v>5494</v>
      </c>
      <c r="F65" s="20"/>
      <c r="G65" s="20"/>
      <c r="H65" s="56">
        <v>-1.6361000000000001</v>
      </c>
      <c r="I65" s="19"/>
      <c r="J65" s="19"/>
      <c r="K65" s="19"/>
      <c r="L65" s="19"/>
      <c r="M65" s="44">
        <f>1.3108-2.967</f>
        <v>-1.6562000000000001</v>
      </c>
    </row>
    <row r="66" spans="1:13" x14ac:dyDescent="0.2">
      <c r="A66" s="20" t="s">
        <v>125</v>
      </c>
      <c r="B66" s="20" t="s">
        <v>126</v>
      </c>
      <c r="C66" s="40">
        <v>43999</v>
      </c>
      <c r="D66" s="41" t="s">
        <v>23</v>
      </c>
      <c r="E66" s="42"/>
      <c r="F66" s="20"/>
      <c r="G66" s="20"/>
      <c r="H66" s="56">
        <v>-3.5497000000000001</v>
      </c>
      <c r="I66" s="19"/>
      <c r="J66" s="19"/>
      <c r="K66" s="19"/>
      <c r="L66" s="19"/>
      <c r="M66" s="44">
        <v>-3.5497000000000001</v>
      </c>
    </row>
    <row r="67" spans="1:13" x14ac:dyDescent="0.2">
      <c r="A67" s="20" t="s">
        <v>125</v>
      </c>
      <c r="B67" s="20" t="s">
        <v>126</v>
      </c>
      <c r="C67" s="40">
        <v>43999</v>
      </c>
      <c r="D67" s="41" t="s">
        <v>15</v>
      </c>
      <c r="E67" s="42">
        <v>18620</v>
      </c>
      <c r="F67" s="20"/>
      <c r="G67" s="20"/>
      <c r="H67" s="56">
        <v>-3.3170999999999999</v>
      </c>
      <c r="I67" s="35">
        <v>98</v>
      </c>
      <c r="J67" s="60">
        <v>96.2</v>
      </c>
      <c r="K67" s="84">
        <f>J67-I67</f>
        <v>-1.7999999999999972</v>
      </c>
      <c r="L67" s="19"/>
      <c r="M67" s="50" t="s">
        <v>42</v>
      </c>
    </row>
    <row r="68" spans="1:13" x14ac:dyDescent="0.2">
      <c r="A68" s="20" t="s">
        <v>125</v>
      </c>
      <c r="B68" s="20" t="s">
        <v>126</v>
      </c>
      <c r="C68" s="40">
        <v>43999</v>
      </c>
      <c r="D68" s="41" t="s">
        <v>21</v>
      </c>
      <c r="E68" s="42"/>
      <c r="F68" s="20">
        <v>150759</v>
      </c>
      <c r="G68" s="20">
        <v>521333</v>
      </c>
      <c r="H68" s="56">
        <v>2.3260000000000001</v>
      </c>
      <c r="I68" s="19"/>
      <c r="J68" s="19"/>
      <c r="K68" s="19"/>
      <c r="L68" s="19"/>
      <c r="M68" s="44">
        <v>2.3260000000000001</v>
      </c>
    </row>
    <row r="69" spans="1:13" x14ac:dyDescent="0.2">
      <c r="A69" s="20" t="s">
        <v>125</v>
      </c>
      <c r="B69" s="20" t="s">
        <v>126</v>
      </c>
      <c r="C69" s="40">
        <v>43999</v>
      </c>
      <c r="D69" s="41" t="s">
        <v>17</v>
      </c>
      <c r="E69" s="42">
        <v>5494</v>
      </c>
      <c r="F69" s="20"/>
      <c r="G69" s="20"/>
      <c r="H69" s="56">
        <v>-1.6561000000000001</v>
      </c>
      <c r="I69" s="19"/>
      <c r="J69" s="19"/>
      <c r="K69" s="19"/>
      <c r="L69" s="19"/>
      <c r="M69" s="103" t="s">
        <v>136</v>
      </c>
    </row>
    <row r="70" spans="1:13" x14ac:dyDescent="0.2">
      <c r="A70" s="20" t="s">
        <v>125</v>
      </c>
      <c r="B70" s="20" t="s">
        <v>126</v>
      </c>
      <c r="C70" s="40">
        <v>44027</v>
      </c>
      <c r="D70" s="41" t="s">
        <v>23</v>
      </c>
      <c r="E70" s="42"/>
      <c r="F70" s="20"/>
      <c r="G70" s="20"/>
      <c r="H70" s="56">
        <v>-3.5497000000000001</v>
      </c>
      <c r="I70" s="19"/>
      <c r="J70" s="19"/>
      <c r="K70" s="19"/>
      <c r="L70" s="19"/>
      <c r="M70" s="44" t="s">
        <v>137</v>
      </c>
    </row>
    <row r="71" spans="1:13" x14ac:dyDescent="0.2">
      <c r="A71" s="20" t="s">
        <v>125</v>
      </c>
      <c r="B71" s="20" t="s">
        <v>126</v>
      </c>
      <c r="C71" s="40">
        <v>44027</v>
      </c>
      <c r="D71" s="41" t="s">
        <v>15</v>
      </c>
      <c r="E71" s="42">
        <v>18620</v>
      </c>
      <c r="F71" s="20"/>
      <c r="G71" s="20"/>
      <c r="H71" s="56">
        <v>-3.3170999999999999</v>
      </c>
      <c r="I71" s="35">
        <v>98</v>
      </c>
      <c r="J71" s="60">
        <v>96.2</v>
      </c>
      <c r="K71" s="84">
        <f>J71-I71</f>
        <v>-1.7999999999999972</v>
      </c>
      <c r="L71" s="19"/>
      <c r="M71" s="50" t="s">
        <v>42</v>
      </c>
    </row>
    <row r="72" spans="1:13" x14ac:dyDescent="0.2">
      <c r="A72" s="20" t="s">
        <v>125</v>
      </c>
      <c r="B72" s="20" t="s">
        <v>126</v>
      </c>
      <c r="C72" s="40">
        <v>44027</v>
      </c>
      <c r="D72" s="41" t="s">
        <v>21</v>
      </c>
      <c r="E72" s="42"/>
      <c r="F72" s="20">
        <v>150759</v>
      </c>
      <c r="G72" s="20">
        <v>521333</v>
      </c>
      <c r="H72" s="56">
        <v>2.3260000000000001</v>
      </c>
      <c r="I72" s="19"/>
      <c r="J72" s="19"/>
      <c r="K72" s="19"/>
      <c r="L72" s="19"/>
      <c r="M72" s="44">
        <v>2.2841999999999998</v>
      </c>
    </row>
    <row r="73" spans="1:13" x14ac:dyDescent="0.2">
      <c r="A73" s="20" t="s">
        <v>125</v>
      </c>
      <c r="B73" s="20" t="s">
        <v>126</v>
      </c>
      <c r="C73" s="40">
        <v>44027</v>
      </c>
      <c r="D73" s="41" t="s">
        <v>17</v>
      </c>
      <c r="E73" s="42">
        <v>5494</v>
      </c>
      <c r="F73" s="20"/>
      <c r="G73" s="20"/>
      <c r="H73" s="56">
        <v>-1.6499000000000001</v>
      </c>
      <c r="I73" s="19"/>
      <c r="J73" s="19"/>
      <c r="K73" s="19"/>
      <c r="L73" s="19"/>
      <c r="M73" s="103">
        <f>1.3171-2.967</f>
        <v>-1.6499000000000001</v>
      </c>
    </row>
    <row r="74" spans="1:13" x14ac:dyDescent="0.2">
      <c r="A74" t="s">
        <v>125</v>
      </c>
      <c r="B74" t="s">
        <v>126</v>
      </c>
      <c r="C74" s="5">
        <v>44053</v>
      </c>
      <c r="D74" t="s">
        <v>23</v>
      </c>
      <c r="E74" s="7"/>
      <c r="F74"/>
      <c r="G74"/>
      <c r="H74" s="56">
        <v>-3.5497000000000001</v>
      </c>
      <c r="I74" s="10"/>
      <c r="J74" s="10"/>
      <c r="K74" s="10"/>
      <c r="L74" s="10"/>
      <c r="M74" s="51">
        <v>-3.57</v>
      </c>
    </row>
    <row r="75" spans="1:13" x14ac:dyDescent="0.2">
      <c r="A75" t="s">
        <v>125</v>
      </c>
      <c r="B75" t="s">
        <v>126</v>
      </c>
      <c r="C75" s="5">
        <v>44053</v>
      </c>
      <c r="D75" t="s">
        <v>15</v>
      </c>
      <c r="E75" s="7">
        <v>18620</v>
      </c>
      <c r="F75"/>
      <c r="G75"/>
      <c r="H75" s="56">
        <v>-3.3170999999999999</v>
      </c>
      <c r="I75" s="35">
        <v>98</v>
      </c>
      <c r="J75" s="60">
        <v>96.2</v>
      </c>
      <c r="K75" s="84">
        <f>J75-I75</f>
        <v>-1.7999999999999972</v>
      </c>
      <c r="L75" s="10"/>
      <c r="M75" s="51" t="s">
        <v>42</v>
      </c>
    </row>
    <row r="76" spans="1:13" x14ac:dyDescent="0.2">
      <c r="A76" t="s">
        <v>125</v>
      </c>
      <c r="B76" t="s">
        <v>126</v>
      </c>
      <c r="C76" s="5">
        <v>44053</v>
      </c>
      <c r="D76" t="s">
        <v>21</v>
      </c>
      <c r="E76" s="7"/>
      <c r="F76">
        <v>150759</v>
      </c>
      <c r="G76">
        <v>521333</v>
      </c>
      <c r="H76" s="10">
        <v>2.29</v>
      </c>
      <c r="I76" s="10"/>
      <c r="J76" s="10"/>
      <c r="K76" s="10"/>
      <c r="L76" s="10"/>
      <c r="M76" s="51">
        <v>2.29</v>
      </c>
    </row>
    <row r="77" spans="1:13" x14ac:dyDescent="0.2">
      <c r="A77" t="s">
        <v>125</v>
      </c>
      <c r="B77" t="s">
        <v>126</v>
      </c>
      <c r="C77" s="5">
        <v>44053</v>
      </c>
      <c r="D77" t="s">
        <v>17</v>
      </c>
      <c r="E77" s="7">
        <v>5494</v>
      </c>
      <c r="F77"/>
      <c r="G77"/>
      <c r="H77" s="10">
        <v>-1.65</v>
      </c>
      <c r="I77" s="10"/>
      <c r="J77" s="10"/>
      <c r="K77" s="10"/>
      <c r="L77" s="10"/>
      <c r="M77" s="51">
        <v>-1.66</v>
      </c>
    </row>
    <row r="78" spans="1:13" ht="12.75" customHeight="1" x14ac:dyDescent="0.2">
      <c r="A78" t="s">
        <v>125</v>
      </c>
      <c r="B78" t="s">
        <v>126</v>
      </c>
      <c r="C78" s="5">
        <v>44082</v>
      </c>
      <c r="D78" t="s">
        <v>23</v>
      </c>
      <c r="E78" s="7"/>
      <c r="F78"/>
      <c r="G78"/>
      <c r="H78" s="56">
        <v>-3.5497000000000001</v>
      </c>
      <c r="I78" s="10"/>
      <c r="J78" s="10"/>
      <c r="K78" s="10"/>
      <c r="L78" s="10"/>
      <c r="M78" s="51">
        <v>-3.5503</v>
      </c>
    </row>
    <row r="79" spans="1:13" ht="12.75" customHeight="1" x14ac:dyDescent="0.2">
      <c r="A79" t="s">
        <v>125</v>
      </c>
      <c r="B79" t="s">
        <v>126</v>
      </c>
      <c r="C79" s="5">
        <v>44082</v>
      </c>
      <c r="D79" t="s">
        <v>15</v>
      </c>
      <c r="E79" s="7">
        <v>18620</v>
      </c>
      <c r="F79"/>
      <c r="G79"/>
      <c r="H79" s="56">
        <v>-3.3170999999999999</v>
      </c>
      <c r="I79" s="35">
        <v>98</v>
      </c>
      <c r="J79" s="60">
        <v>96.2</v>
      </c>
      <c r="K79" s="84">
        <f>J79-I79</f>
        <v>-1.7999999999999972</v>
      </c>
      <c r="L79" s="10"/>
      <c r="M79" s="51" t="s">
        <v>42</v>
      </c>
    </row>
    <row r="80" spans="1:13" x14ac:dyDescent="0.2">
      <c r="A80" t="s">
        <v>125</v>
      </c>
      <c r="B80" t="s">
        <v>126</v>
      </c>
      <c r="C80" s="5">
        <v>44082</v>
      </c>
      <c r="D80" t="s">
        <v>21</v>
      </c>
      <c r="E80" s="7"/>
      <c r="F80">
        <v>150759</v>
      </c>
      <c r="G80">
        <v>521333</v>
      </c>
      <c r="H80" s="10">
        <v>2.3184999999999998</v>
      </c>
      <c r="I80" s="10"/>
      <c r="J80" s="10"/>
      <c r="K80" s="10"/>
      <c r="L80" s="10"/>
      <c r="M80" s="51">
        <v>2.3184999999999998</v>
      </c>
    </row>
    <row r="81" spans="1:14" x14ac:dyDescent="0.2">
      <c r="A81" t="s">
        <v>125</v>
      </c>
      <c r="B81" t="s">
        <v>126</v>
      </c>
      <c r="C81" s="5">
        <v>44082</v>
      </c>
      <c r="D81" t="s">
        <v>17</v>
      </c>
      <c r="E81" s="7">
        <v>5494</v>
      </c>
      <c r="F81"/>
      <c r="G81"/>
      <c r="H81" s="10">
        <v>-1.65</v>
      </c>
      <c r="I81" s="10"/>
      <c r="J81" s="10"/>
      <c r="K81" s="10"/>
      <c r="L81" s="10"/>
      <c r="M81" s="103">
        <f>1.3251-2.967</f>
        <v>-1.6419000000000001</v>
      </c>
    </row>
    <row r="82" spans="1:14" x14ac:dyDescent="0.2">
      <c r="A82" t="s">
        <v>125</v>
      </c>
      <c r="B82" t="s">
        <v>126</v>
      </c>
      <c r="C82" s="5">
        <v>44139</v>
      </c>
      <c r="D82" t="s">
        <v>23</v>
      </c>
      <c r="E82" s="7"/>
      <c r="F82"/>
      <c r="G82"/>
      <c r="H82" s="56">
        <v>-3.5497000000000001</v>
      </c>
      <c r="I82" s="10"/>
      <c r="J82" s="10"/>
      <c r="K82" s="10"/>
      <c r="L82" s="10"/>
      <c r="M82" s="51">
        <v>-3.5872000000000002</v>
      </c>
    </row>
    <row r="83" spans="1:14" x14ac:dyDescent="0.2">
      <c r="A83" t="s">
        <v>125</v>
      </c>
      <c r="B83" t="s">
        <v>126</v>
      </c>
      <c r="C83" s="5">
        <v>44139</v>
      </c>
      <c r="D83" t="s">
        <v>15</v>
      </c>
      <c r="E83" s="7">
        <v>18620</v>
      </c>
      <c r="F83"/>
      <c r="G83"/>
      <c r="H83" s="56">
        <v>-3.3170999999999999</v>
      </c>
      <c r="I83" s="35">
        <v>98</v>
      </c>
      <c r="J83" s="60">
        <v>96.2</v>
      </c>
      <c r="K83" s="84">
        <f>J83-I83</f>
        <v>-1.7999999999999972</v>
      </c>
      <c r="L83" s="10"/>
      <c r="M83" s="51" t="s">
        <v>42</v>
      </c>
    </row>
    <row r="84" spans="1:14" x14ac:dyDescent="0.2">
      <c r="A84" t="s">
        <v>125</v>
      </c>
      <c r="B84" t="s">
        <v>126</v>
      </c>
      <c r="C84" s="5">
        <v>44139</v>
      </c>
      <c r="D84" t="s">
        <v>21</v>
      </c>
      <c r="E84" s="7"/>
      <c r="F84">
        <v>150759</v>
      </c>
      <c r="G84">
        <v>521333</v>
      </c>
      <c r="H84" s="101">
        <v>2.2789999999999999</v>
      </c>
      <c r="I84" s="10"/>
      <c r="J84" s="10"/>
      <c r="K84" s="10"/>
      <c r="L84" s="10"/>
      <c r="M84" s="51">
        <v>2.2789999999999999</v>
      </c>
    </row>
    <row r="85" spans="1:14" x14ac:dyDescent="0.2">
      <c r="A85" t="s">
        <v>125</v>
      </c>
      <c r="B85" t="s">
        <v>126</v>
      </c>
      <c r="C85" s="5">
        <v>44139</v>
      </c>
      <c r="D85" t="s">
        <v>17</v>
      </c>
      <c r="E85" s="7">
        <v>5494</v>
      </c>
      <c r="F85"/>
      <c r="G85"/>
      <c r="H85" s="57">
        <v>-1.65</v>
      </c>
      <c r="I85" s="10"/>
      <c r="J85" s="10"/>
      <c r="K85" s="10"/>
      <c r="L85" s="10"/>
      <c r="M85" s="103" t="s">
        <v>208</v>
      </c>
    </row>
    <row r="86" spans="1:14" x14ac:dyDescent="0.2">
      <c r="A86" t="s">
        <v>125</v>
      </c>
      <c r="B86" t="s">
        <v>126</v>
      </c>
      <c r="C86" s="5">
        <v>44165</v>
      </c>
      <c r="D86" t="s">
        <v>23</v>
      </c>
      <c r="E86" s="7"/>
      <c r="F86"/>
      <c r="G86"/>
      <c r="H86" s="62">
        <v>-3.5844</v>
      </c>
      <c r="I86" s="10"/>
      <c r="J86" s="10"/>
      <c r="K86" s="10"/>
      <c r="L86" s="10"/>
      <c r="M86" s="51">
        <v>-3.5844</v>
      </c>
    </row>
    <row r="87" spans="1:14" x14ac:dyDescent="0.2">
      <c r="A87" t="s">
        <v>125</v>
      </c>
      <c r="B87" t="s">
        <v>126</v>
      </c>
      <c r="C87" s="5">
        <v>44165</v>
      </c>
      <c r="D87" t="s">
        <v>15</v>
      </c>
      <c r="E87" s="7">
        <v>18620</v>
      </c>
      <c r="F87"/>
      <c r="G87"/>
      <c r="H87" s="62">
        <v>-3.3170999999999999</v>
      </c>
      <c r="I87" s="35">
        <v>98</v>
      </c>
      <c r="J87" s="60">
        <v>96.2</v>
      </c>
      <c r="K87" s="84">
        <f>J87-I87</f>
        <v>-1.7999999999999972</v>
      </c>
      <c r="L87" s="10"/>
      <c r="M87" s="51" t="s">
        <v>42</v>
      </c>
    </row>
    <row r="88" spans="1:14" x14ac:dyDescent="0.2">
      <c r="A88" t="s">
        <v>125</v>
      </c>
      <c r="B88" t="s">
        <v>126</v>
      </c>
      <c r="C88" s="5">
        <v>44165</v>
      </c>
      <c r="D88" t="s">
        <v>21</v>
      </c>
      <c r="E88" s="7"/>
      <c r="F88">
        <v>150759</v>
      </c>
      <c r="G88">
        <v>521333</v>
      </c>
      <c r="H88" s="101">
        <v>2.3016000000000001</v>
      </c>
      <c r="I88" s="10"/>
      <c r="J88" s="10"/>
      <c r="K88" s="10"/>
      <c r="L88" s="10"/>
      <c r="M88" s="51">
        <v>2.3016000000000001</v>
      </c>
    </row>
    <row r="89" spans="1:14" x14ac:dyDescent="0.2">
      <c r="A89" t="s">
        <v>125</v>
      </c>
      <c r="B89" t="s">
        <v>126</v>
      </c>
      <c r="C89" s="5">
        <v>44165</v>
      </c>
      <c r="D89" t="s">
        <v>17</v>
      </c>
      <c r="E89" s="7">
        <v>5494</v>
      </c>
      <c r="F89"/>
      <c r="G89"/>
      <c r="H89" s="57">
        <v>-1.65</v>
      </c>
      <c r="I89" s="10"/>
      <c r="J89" s="10"/>
      <c r="K89" s="10"/>
      <c r="L89" s="10"/>
      <c r="M89" s="103">
        <f>1.3087-2.967</f>
        <v>-1.6583000000000001</v>
      </c>
    </row>
    <row r="90" spans="1:14" x14ac:dyDescent="0.2">
      <c r="A90" t="s">
        <v>125</v>
      </c>
      <c r="B90" t="s">
        <v>126</v>
      </c>
      <c r="C90" s="5">
        <v>44222</v>
      </c>
      <c r="D90" t="s">
        <v>23</v>
      </c>
      <c r="E90" s="7"/>
      <c r="F90"/>
      <c r="G90"/>
      <c r="H90" s="62">
        <v>-3.5844</v>
      </c>
      <c r="I90" s="10"/>
      <c r="J90" s="10"/>
      <c r="K90" s="10"/>
      <c r="L90" s="10"/>
      <c r="M90" s="51">
        <v>-3.5678999999999998</v>
      </c>
    </row>
    <row r="91" spans="1:14" x14ac:dyDescent="0.2">
      <c r="A91" t="s">
        <v>125</v>
      </c>
      <c r="B91" t="s">
        <v>126</v>
      </c>
      <c r="C91" s="5">
        <v>44222</v>
      </c>
      <c r="D91" t="s">
        <v>15</v>
      </c>
      <c r="E91" s="7">
        <v>18620</v>
      </c>
      <c r="F91"/>
      <c r="G91"/>
      <c r="H91" s="62">
        <v>-3.3170999999999999</v>
      </c>
      <c r="I91" s="35">
        <v>98</v>
      </c>
      <c r="J91" s="60">
        <v>96.2</v>
      </c>
      <c r="K91" s="84">
        <f>J91-I91</f>
        <v>-1.7999999999999972</v>
      </c>
      <c r="L91" s="10"/>
      <c r="M91" s="51" t="s">
        <v>42</v>
      </c>
    </row>
    <row r="92" spans="1:14" x14ac:dyDescent="0.2">
      <c r="A92" t="s">
        <v>125</v>
      </c>
      <c r="B92" t="s">
        <v>126</v>
      </c>
      <c r="C92" s="5">
        <v>44222</v>
      </c>
      <c r="D92" t="s">
        <v>21</v>
      </c>
      <c r="E92" s="7"/>
      <c r="F92">
        <v>150759</v>
      </c>
      <c r="G92">
        <v>521333</v>
      </c>
      <c r="H92" s="101">
        <v>2.3016000000000001</v>
      </c>
      <c r="I92" s="10"/>
      <c r="J92" s="10"/>
      <c r="K92" s="10"/>
      <c r="L92" s="10"/>
      <c r="M92" s="51">
        <v>2.3184</v>
      </c>
    </row>
    <row r="93" spans="1:14" s="126" customFormat="1" ht="13.5" thickBot="1" x14ac:dyDescent="0.25">
      <c r="A93" s="118" t="s">
        <v>125</v>
      </c>
      <c r="B93" s="118" t="s">
        <v>126</v>
      </c>
      <c r="C93" s="129">
        <v>44222</v>
      </c>
      <c r="D93" s="118" t="s">
        <v>17</v>
      </c>
      <c r="E93" s="121">
        <v>5494</v>
      </c>
      <c r="F93" s="118"/>
      <c r="G93" s="118"/>
      <c r="H93" s="193">
        <v>-1.65</v>
      </c>
      <c r="I93" s="123"/>
      <c r="J93" s="123"/>
      <c r="K93" s="123"/>
      <c r="L93" s="123"/>
      <c r="M93" s="194">
        <f>1.3198-2.967</f>
        <v>-1.6472</v>
      </c>
      <c r="N93" s="125"/>
    </row>
    <row r="94" spans="1:14" s="147" customFormat="1" x14ac:dyDescent="0.2">
      <c r="A94" s="141" t="s">
        <v>125</v>
      </c>
      <c r="B94" s="141" t="s">
        <v>126</v>
      </c>
      <c r="C94" s="177">
        <v>44260</v>
      </c>
      <c r="D94" s="141" t="s">
        <v>23</v>
      </c>
      <c r="E94" s="143"/>
      <c r="F94" s="141"/>
      <c r="G94" s="141"/>
      <c r="H94" s="148">
        <v>-3.5011000000000001</v>
      </c>
      <c r="I94" s="144"/>
      <c r="J94" s="144"/>
      <c r="K94" s="144"/>
      <c r="L94" s="144"/>
      <c r="M94" s="179">
        <v>-3.5011000000000001</v>
      </c>
      <c r="N94" s="146"/>
    </row>
    <row r="95" spans="1:14" s="147" customFormat="1" x14ac:dyDescent="0.2">
      <c r="A95" s="141" t="s">
        <v>125</v>
      </c>
      <c r="B95" s="141" t="s">
        <v>126</v>
      </c>
      <c r="C95" s="177">
        <v>44260</v>
      </c>
      <c r="D95" s="141" t="s">
        <v>15</v>
      </c>
      <c r="E95" s="143">
        <v>18620</v>
      </c>
      <c r="F95" s="141"/>
      <c r="G95" s="141"/>
      <c r="H95" s="189">
        <v>-3.3201000000000001</v>
      </c>
      <c r="I95" s="190">
        <v>98</v>
      </c>
      <c r="J95" s="155">
        <v>96.2</v>
      </c>
      <c r="K95" s="191">
        <f>J95-I95</f>
        <v>-1.7999999999999972</v>
      </c>
      <c r="L95" s="144"/>
      <c r="M95" s="179"/>
      <c r="N95" s="146"/>
    </row>
    <row r="96" spans="1:14" s="147" customFormat="1" x14ac:dyDescent="0.2">
      <c r="A96" s="141" t="s">
        <v>125</v>
      </c>
      <c r="B96" s="141" t="s">
        <v>126</v>
      </c>
      <c r="C96" s="177">
        <v>44260</v>
      </c>
      <c r="D96" s="141" t="s">
        <v>21</v>
      </c>
      <c r="E96" s="143"/>
      <c r="F96" s="141">
        <v>150701</v>
      </c>
      <c r="G96" s="141">
        <v>521335</v>
      </c>
      <c r="H96" s="148">
        <v>2.012</v>
      </c>
      <c r="I96" s="144"/>
      <c r="J96" s="144"/>
      <c r="K96" s="144"/>
      <c r="L96" s="144"/>
      <c r="M96" s="179">
        <v>2.012</v>
      </c>
      <c r="N96" s="146"/>
    </row>
    <row r="97" spans="1:14" s="147" customFormat="1" x14ac:dyDescent="0.2">
      <c r="A97" s="141" t="s">
        <v>125</v>
      </c>
      <c r="B97" s="141" t="s">
        <v>126</v>
      </c>
      <c r="C97" s="177">
        <v>44260</v>
      </c>
      <c r="D97" s="141" t="s">
        <v>17</v>
      </c>
      <c r="E97" s="143">
        <v>5494</v>
      </c>
      <c r="F97" s="141"/>
      <c r="G97" s="141"/>
      <c r="H97" s="192">
        <v>-1.871</v>
      </c>
      <c r="I97" s="144"/>
      <c r="J97" s="144"/>
      <c r="K97" s="144"/>
      <c r="L97" s="144"/>
      <c r="M97" s="188">
        <f>1.096-2.967</f>
        <v>-1.871</v>
      </c>
      <c r="N97" s="146"/>
    </row>
    <row r="98" spans="1:14" s="147" customFormat="1" x14ac:dyDescent="0.2">
      <c r="A98" s="141" t="s">
        <v>125</v>
      </c>
      <c r="B98" s="141" t="s">
        <v>126</v>
      </c>
      <c r="C98" s="177">
        <v>44285</v>
      </c>
      <c r="D98" s="141" t="s">
        <v>23</v>
      </c>
      <c r="E98" s="143"/>
      <c r="F98" s="141"/>
      <c r="G98" s="141"/>
      <c r="H98" s="148">
        <v>-3.5011000000000001</v>
      </c>
      <c r="I98" s="144"/>
      <c r="J98" s="144"/>
      <c r="K98" s="144"/>
      <c r="L98" s="144"/>
      <c r="M98" s="179">
        <v>-3.52</v>
      </c>
      <c r="N98" s="146"/>
    </row>
    <row r="99" spans="1:14" s="147" customFormat="1" x14ac:dyDescent="0.2">
      <c r="A99" s="141" t="s">
        <v>125</v>
      </c>
      <c r="B99" s="141" t="s">
        <v>126</v>
      </c>
      <c r="C99" s="177">
        <v>44285</v>
      </c>
      <c r="D99" s="141" t="s">
        <v>15</v>
      </c>
      <c r="E99" s="143">
        <v>18620</v>
      </c>
      <c r="F99" s="141"/>
      <c r="G99" s="141"/>
      <c r="H99" s="189">
        <v>-3.3201000000000001</v>
      </c>
      <c r="I99" s="190">
        <v>98</v>
      </c>
      <c r="J99" s="155">
        <v>96.2</v>
      </c>
      <c r="K99" s="191">
        <f>J99-I99</f>
        <v>-1.7999999999999972</v>
      </c>
      <c r="L99" s="144"/>
      <c r="M99" s="179"/>
      <c r="N99" s="146"/>
    </row>
    <row r="100" spans="1:14" x14ac:dyDescent="0.2">
      <c r="A100" s="141" t="s">
        <v>125</v>
      </c>
      <c r="B100" s="141" t="s">
        <v>126</v>
      </c>
      <c r="C100" s="177">
        <v>44285</v>
      </c>
      <c r="D100" s="141" t="s">
        <v>21</v>
      </c>
      <c r="E100" s="143"/>
      <c r="F100" s="141">
        <v>150701</v>
      </c>
      <c r="G100" s="141">
        <v>521335</v>
      </c>
      <c r="H100" s="148">
        <v>2.012</v>
      </c>
      <c r="I100" s="144"/>
      <c r="J100" s="144"/>
      <c r="K100" s="144"/>
      <c r="L100" s="144"/>
      <c r="M100" s="179">
        <v>2.0099999999999998</v>
      </c>
    </row>
    <row r="101" spans="1:14" x14ac:dyDescent="0.2">
      <c r="A101" s="141" t="s">
        <v>125</v>
      </c>
      <c r="B101" s="141" t="s">
        <v>126</v>
      </c>
      <c r="C101" s="177">
        <v>44285</v>
      </c>
      <c r="D101" s="141" t="s">
        <v>17</v>
      </c>
      <c r="E101" s="143">
        <v>5494</v>
      </c>
      <c r="F101" s="141"/>
      <c r="G101" s="141"/>
      <c r="H101" s="192">
        <v>-1.871</v>
      </c>
      <c r="I101" s="144"/>
      <c r="J101" s="144"/>
      <c r="K101" s="144"/>
      <c r="L101" s="144"/>
      <c r="M101" s="188">
        <f>1.09-2.967</f>
        <v>-1.877</v>
      </c>
    </row>
    <row r="102" spans="1:14" x14ac:dyDescent="0.2">
      <c r="A102"/>
      <c r="B102"/>
      <c r="C102"/>
      <c r="D102"/>
      <c r="E102" s="7"/>
      <c r="F102"/>
      <c r="G102"/>
      <c r="H102" s="10"/>
      <c r="I102" s="10"/>
      <c r="J102" s="10"/>
      <c r="K102" s="10"/>
      <c r="L102" s="10"/>
      <c r="M102" s="51"/>
    </row>
    <row r="103" spans="1:14" x14ac:dyDescent="0.2">
      <c r="A103"/>
      <c r="B103"/>
      <c r="C103"/>
      <c r="D103"/>
      <c r="E103" s="7"/>
      <c r="F103"/>
      <c r="G103"/>
      <c r="H103" s="10"/>
      <c r="I103" s="10"/>
      <c r="J103" s="10"/>
      <c r="K103" s="10"/>
      <c r="L103" s="10"/>
      <c r="M103" s="51"/>
    </row>
    <row r="104" spans="1:14" x14ac:dyDescent="0.2">
      <c r="A104"/>
      <c r="B104"/>
      <c r="C104"/>
      <c r="D104"/>
      <c r="E104" s="7"/>
      <c r="F104"/>
      <c r="G104"/>
      <c r="H104" s="10"/>
      <c r="I104" s="10"/>
      <c r="J104" s="10"/>
      <c r="K104" s="10"/>
      <c r="L104" s="10"/>
      <c r="M104" s="51"/>
    </row>
    <row r="105" spans="1:14" x14ac:dyDescent="0.2">
      <c r="A105"/>
      <c r="B105"/>
      <c r="C105"/>
      <c r="D105"/>
      <c r="E105" s="7"/>
      <c r="F105"/>
      <c r="G105"/>
      <c r="H105" s="10"/>
      <c r="I105" s="10"/>
      <c r="J105" s="10"/>
      <c r="K105" s="10"/>
      <c r="L105" s="10"/>
      <c r="M105" s="51"/>
    </row>
    <row r="106" spans="1:14" x14ac:dyDescent="0.2">
      <c r="A106"/>
      <c r="B106"/>
      <c r="C106"/>
      <c r="D106"/>
      <c r="E106" s="7"/>
      <c r="F106"/>
      <c r="G106"/>
      <c r="H106" s="10"/>
      <c r="I106" s="10"/>
      <c r="J106" s="10"/>
      <c r="K106" s="10"/>
      <c r="L106" s="10"/>
      <c r="M106" s="51"/>
    </row>
    <row r="107" spans="1:14" x14ac:dyDescent="0.2">
      <c r="A107"/>
      <c r="B107"/>
      <c r="C107"/>
      <c r="D107"/>
      <c r="E107" s="7"/>
      <c r="F107"/>
      <c r="G107"/>
      <c r="H107" s="10"/>
      <c r="I107" s="10"/>
      <c r="J107" s="10"/>
      <c r="K107" s="10"/>
      <c r="L107" s="10"/>
      <c r="M107" s="51"/>
    </row>
    <row r="108" spans="1:14" x14ac:dyDescent="0.2">
      <c r="A108"/>
      <c r="B108"/>
      <c r="C108"/>
      <c r="D108"/>
      <c r="E108" s="7"/>
      <c r="F108"/>
      <c r="G108"/>
      <c r="H108" s="10"/>
      <c r="I108" s="10"/>
      <c r="J108" s="10"/>
      <c r="K108" s="10"/>
      <c r="L108" s="10"/>
      <c r="M108" s="51"/>
    </row>
    <row r="109" spans="1:14" x14ac:dyDescent="0.2">
      <c r="A109"/>
      <c r="B109"/>
      <c r="C109"/>
      <c r="D109"/>
      <c r="E109" s="7"/>
      <c r="F109"/>
      <c r="G109"/>
      <c r="H109" s="10"/>
      <c r="I109" s="10"/>
      <c r="J109" s="10"/>
      <c r="K109" s="10"/>
      <c r="L109" s="10"/>
      <c r="M109" s="51"/>
    </row>
    <row r="110" spans="1:14" x14ac:dyDescent="0.2">
      <c r="A110"/>
      <c r="B110"/>
      <c r="C110"/>
      <c r="D110"/>
      <c r="E110" s="7"/>
      <c r="F110"/>
      <c r="G110"/>
      <c r="H110" s="10"/>
      <c r="I110" s="10"/>
      <c r="J110" s="10"/>
      <c r="K110" s="10"/>
      <c r="L110" s="10"/>
      <c r="M110" s="51"/>
    </row>
    <row r="111" spans="1:14" x14ac:dyDescent="0.2">
      <c r="A111"/>
      <c r="B111"/>
      <c r="C111"/>
      <c r="D111"/>
      <c r="E111" s="7"/>
      <c r="F111"/>
      <c r="G111"/>
      <c r="H111" s="10"/>
      <c r="I111" s="10"/>
      <c r="J111" s="10"/>
      <c r="K111" s="10"/>
      <c r="L111" s="10"/>
      <c r="M111" s="51"/>
    </row>
    <row r="112" spans="1:14" x14ac:dyDescent="0.2">
      <c r="A112"/>
      <c r="B112"/>
      <c r="C112"/>
      <c r="D112"/>
      <c r="E112" s="7"/>
      <c r="F112"/>
      <c r="G112"/>
      <c r="H112" s="10"/>
      <c r="I112" s="10"/>
      <c r="J112" s="10"/>
      <c r="K112" s="10"/>
      <c r="L112" s="10"/>
      <c r="M112" s="51"/>
    </row>
    <row r="113" spans="1:13" x14ac:dyDescent="0.2">
      <c r="A113"/>
      <c r="B113"/>
      <c r="C113"/>
      <c r="D113"/>
      <c r="E113" s="7"/>
      <c r="F113"/>
      <c r="G113"/>
      <c r="H113" s="10"/>
      <c r="I113" s="10"/>
      <c r="J113" s="10"/>
      <c r="K113" s="10"/>
      <c r="L113" s="10"/>
      <c r="M113" s="51"/>
    </row>
    <row r="114" spans="1:13" x14ac:dyDescent="0.2">
      <c r="A114"/>
      <c r="B114"/>
      <c r="C114"/>
      <c r="D114"/>
      <c r="E114" s="7"/>
      <c r="F114"/>
      <c r="G114"/>
      <c r="H114" s="10"/>
      <c r="I114" s="10"/>
      <c r="J114" s="10"/>
      <c r="K114" s="10"/>
      <c r="L114" s="10"/>
      <c r="M114" s="51"/>
    </row>
    <row r="115" spans="1:13" x14ac:dyDescent="0.2">
      <c r="A115"/>
      <c r="B115"/>
      <c r="C115"/>
      <c r="D115"/>
      <c r="E115" s="7"/>
      <c r="F115"/>
      <c r="G115"/>
      <c r="H115" s="10"/>
      <c r="I115" s="10"/>
      <c r="J115" s="10"/>
      <c r="K115" s="10"/>
      <c r="L115" s="10"/>
      <c r="M115" s="51"/>
    </row>
    <row r="116" spans="1:13" x14ac:dyDescent="0.2">
      <c r="A116"/>
      <c r="B116"/>
      <c r="C116"/>
      <c r="D116"/>
      <c r="E116" s="7"/>
      <c r="F116"/>
      <c r="G116"/>
      <c r="H116" s="10"/>
      <c r="I116" s="10"/>
      <c r="J116" s="10"/>
      <c r="K116" s="10"/>
      <c r="L116" s="10"/>
      <c r="M116" s="51"/>
    </row>
    <row r="117" spans="1:13" x14ac:dyDescent="0.2">
      <c r="A117"/>
      <c r="B117"/>
      <c r="C117"/>
      <c r="D117"/>
      <c r="E117" s="7"/>
      <c r="F117"/>
      <c r="G117"/>
      <c r="H117" s="10"/>
      <c r="I117" s="10"/>
      <c r="J117" s="10"/>
      <c r="K117" s="10"/>
      <c r="L117" s="10"/>
      <c r="M117" s="51"/>
    </row>
    <row r="118" spans="1:13" x14ac:dyDescent="0.2">
      <c r="A118"/>
      <c r="B118"/>
      <c r="C118"/>
      <c r="D118"/>
      <c r="E118" s="7"/>
      <c r="F118"/>
      <c r="G118"/>
      <c r="H118" s="10"/>
      <c r="I118" s="10"/>
      <c r="J118" s="10"/>
      <c r="K118" s="10"/>
      <c r="L118" s="10"/>
      <c r="M118" s="51"/>
    </row>
    <row r="119" spans="1:13" x14ac:dyDescent="0.2">
      <c r="A119"/>
      <c r="B119"/>
      <c r="C119"/>
      <c r="D119"/>
      <c r="E119" s="7"/>
      <c r="F119"/>
      <c r="G119"/>
      <c r="H119" s="10"/>
      <c r="I119" s="10"/>
      <c r="J119" s="10"/>
      <c r="K119" s="10"/>
      <c r="L119" s="10"/>
      <c r="M119" s="51"/>
    </row>
    <row r="120" spans="1:13" x14ac:dyDescent="0.2">
      <c r="A120"/>
      <c r="B120"/>
      <c r="C120"/>
      <c r="D120"/>
      <c r="E120" s="7"/>
      <c r="F120"/>
      <c r="G120"/>
      <c r="H120" s="10"/>
      <c r="I120" s="10"/>
      <c r="J120" s="10"/>
      <c r="K120" s="10"/>
      <c r="L120" s="10"/>
      <c r="M120" s="51"/>
    </row>
    <row r="121" spans="1:13" x14ac:dyDescent="0.2">
      <c r="A121"/>
      <c r="B121"/>
      <c r="C121"/>
      <c r="D121"/>
      <c r="E121" s="7"/>
      <c r="F121"/>
      <c r="G121"/>
      <c r="H121" s="10"/>
      <c r="I121" s="10"/>
      <c r="J121" s="10"/>
      <c r="K121" s="10"/>
      <c r="L121" s="10"/>
      <c r="M121" s="51"/>
    </row>
    <row r="122" spans="1:13" x14ac:dyDescent="0.2">
      <c r="A122"/>
      <c r="B122"/>
      <c r="C122"/>
      <c r="D122"/>
      <c r="E122" s="7"/>
      <c r="F122"/>
      <c r="G122"/>
      <c r="H122" s="10"/>
      <c r="I122" s="10"/>
      <c r="J122" s="10"/>
      <c r="K122" s="10"/>
      <c r="L122" s="10"/>
      <c r="M122" s="51"/>
    </row>
    <row r="123" spans="1:13" x14ac:dyDescent="0.2">
      <c r="A123"/>
      <c r="B123"/>
      <c r="C123"/>
      <c r="D123"/>
      <c r="E123" s="7"/>
      <c r="F123"/>
      <c r="G123"/>
      <c r="H123" s="10"/>
      <c r="I123" s="10"/>
      <c r="J123" s="10"/>
      <c r="K123" s="10"/>
      <c r="L123" s="10"/>
      <c r="M123" s="51"/>
    </row>
    <row r="124" spans="1:13" x14ac:dyDescent="0.2">
      <c r="A124"/>
      <c r="B124"/>
      <c r="C124"/>
      <c r="D124"/>
      <c r="E124" s="7"/>
      <c r="F124"/>
      <c r="G124"/>
      <c r="H124" s="10"/>
      <c r="I124" s="10"/>
      <c r="J124" s="10"/>
      <c r="K124" s="10"/>
      <c r="L124" s="10"/>
      <c r="M124" s="51"/>
    </row>
    <row r="125" spans="1:13" x14ac:dyDescent="0.2">
      <c r="A125"/>
      <c r="B125"/>
      <c r="C125"/>
      <c r="D125"/>
      <c r="E125" s="7"/>
      <c r="F125"/>
      <c r="G125"/>
      <c r="H125" s="10"/>
      <c r="I125" s="10"/>
      <c r="J125" s="10"/>
      <c r="K125" s="10"/>
      <c r="L125" s="10"/>
      <c r="M125" s="51"/>
    </row>
    <row r="126" spans="1:13" x14ac:dyDescent="0.2">
      <c r="A126"/>
      <c r="B126"/>
      <c r="C126"/>
      <c r="D126"/>
      <c r="E126" s="7"/>
      <c r="F126"/>
      <c r="G126"/>
      <c r="H126" s="10"/>
      <c r="I126" s="10"/>
      <c r="J126" s="10"/>
      <c r="K126" s="10"/>
      <c r="L126" s="10"/>
      <c r="M126" s="51"/>
    </row>
    <row r="127" spans="1:13" x14ac:dyDescent="0.2">
      <c r="A127"/>
      <c r="B127"/>
      <c r="C127"/>
      <c r="D127"/>
      <c r="E127" s="7"/>
      <c r="F127"/>
      <c r="G127"/>
      <c r="H127" s="10"/>
      <c r="I127" s="10"/>
      <c r="J127" s="10"/>
      <c r="K127" s="10"/>
      <c r="L127" s="10"/>
      <c r="M127" s="51"/>
    </row>
    <row r="128" spans="1:13" x14ac:dyDescent="0.2">
      <c r="A128"/>
      <c r="B128"/>
      <c r="C128"/>
      <c r="D128"/>
      <c r="E128" s="7"/>
      <c r="F128"/>
      <c r="G128"/>
      <c r="H128" s="10"/>
      <c r="I128" s="10"/>
      <c r="J128" s="10"/>
      <c r="K128" s="10"/>
      <c r="L128" s="10"/>
      <c r="M128" s="51"/>
    </row>
    <row r="129" spans="1:13" x14ac:dyDescent="0.2">
      <c r="A129"/>
      <c r="B129"/>
      <c r="C129"/>
      <c r="D129"/>
      <c r="E129" s="7"/>
      <c r="F129"/>
      <c r="G129"/>
      <c r="H129" s="10"/>
      <c r="I129" s="10"/>
      <c r="J129" s="10"/>
      <c r="K129" s="10"/>
      <c r="L129" s="10"/>
      <c r="M129" s="51"/>
    </row>
    <row r="130" spans="1:13" x14ac:dyDescent="0.2">
      <c r="A130"/>
      <c r="B130"/>
      <c r="C130"/>
      <c r="D130"/>
      <c r="E130" s="7"/>
      <c r="F130"/>
      <c r="G130"/>
      <c r="H130" s="10"/>
      <c r="I130" s="10"/>
      <c r="J130" s="10"/>
      <c r="K130" s="10"/>
      <c r="L130" s="10"/>
      <c r="M130" s="51"/>
    </row>
    <row r="131" spans="1:13" x14ac:dyDescent="0.2">
      <c r="A131"/>
      <c r="B131"/>
      <c r="C131"/>
      <c r="D131"/>
      <c r="E131" s="7"/>
      <c r="F131"/>
      <c r="G131"/>
      <c r="H131" s="10"/>
      <c r="I131" s="10"/>
      <c r="J131" s="10"/>
      <c r="K131" s="10"/>
      <c r="L131" s="10"/>
      <c r="M131" s="51"/>
    </row>
    <row r="132" spans="1:13" x14ac:dyDescent="0.2">
      <c r="A132"/>
      <c r="B132"/>
      <c r="C132"/>
      <c r="D132"/>
      <c r="E132" s="7"/>
      <c r="F132"/>
      <c r="G132"/>
      <c r="H132" s="10"/>
      <c r="I132" s="10"/>
      <c r="J132" s="10"/>
      <c r="K132" s="10"/>
      <c r="L132" s="10"/>
      <c r="M132" s="51"/>
    </row>
    <row r="133" spans="1:13" x14ac:dyDescent="0.2">
      <c r="A133"/>
      <c r="B133"/>
      <c r="C133"/>
      <c r="D133"/>
      <c r="E133" s="7"/>
      <c r="F133"/>
      <c r="G133"/>
      <c r="H133" s="10"/>
      <c r="I133" s="10"/>
      <c r="J133" s="10"/>
      <c r="K133" s="10"/>
      <c r="L133" s="10"/>
      <c r="M133" s="51"/>
    </row>
    <row r="134" spans="1:13" x14ac:dyDescent="0.2">
      <c r="A134"/>
      <c r="B134"/>
      <c r="C134"/>
      <c r="D134"/>
      <c r="E134" s="7"/>
      <c r="F134"/>
      <c r="G134"/>
      <c r="H134" s="10"/>
      <c r="I134" s="10"/>
      <c r="J134" s="10"/>
      <c r="K134" s="10"/>
      <c r="L134" s="10"/>
      <c r="M134" s="51"/>
    </row>
    <row r="135" spans="1:13" x14ac:dyDescent="0.2">
      <c r="A135"/>
      <c r="B135"/>
      <c r="C135"/>
      <c r="D135"/>
      <c r="E135" s="7"/>
      <c r="F135"/>
      <c r="G135"/>
      <c r="H135" s="10"/>
      <c r="I135" s="10"/>
      <c r="J135" s="10"/>
      <c r="K135" s="10"/>
      <c r="L135" s="10"/>
      <c r="M135" s="51"/>
    </row>
    <row r="136" spans="1:13" x14ac:dyDescent="0.2">
      <c r="A136"/>
      <c r="B136"/>
      <c r="C136"/>
      <c r="D136"/>
      <c r="E136" s="7"/>
      <c r="F136"/>
      <c r="G136"/>
      <c r="H136" s="10"/>
      <c r="I136" s="10"/>
      <c r="J136" s="10"/>
      <c r="K136" s="10"/>
      <c r="L136" s="10"/>
      <c r="M136" s="51"/>
    </row>
    <row r="137" spans="1:13" x14ac:dyDescent="0.2">
      <c r="A137"/>
      <c r="B137"/>
      <c r="C137"/>
      <c r="D137"/>
      <c r="E137" s="7"/>
      <c r="F137"/>
      <c r="G137"/>
      <c r="H137" s="10"/>
      <c r="I137" s="10"/>
      <c r="J137" s="10"/>
      <c r="K137" s="10"/>
      <c r="L137" s="10"/>
      <c r="M137" s="51"/>
    </row>
    <row r="138" spans="1:13" x14ac:dyDescent="0.2">
      <c r="A138"/>
      <c r="B138"/>
      <c r="C138"/>
      <c r="D138"/>
      <c r="E138" s="7"/>
      <c r="F138"/>
      <c r="G138"/>
      <c r="H138" s="10"/>
      <c r="I138" s="10"/>
      <c r="J138" s="10"/>
      <c r="K138" s="10"/>
      <c r="L138" s="10"/>
      <c r="M138" s="51"/>
    </row>
    <row r="139" spans="1:13" x14ac:dyDescent="0.2">
      <c r="A139"/>
      <c r="B139"/>
      <c r="C139"/>
      <c r="D139"/>
      <c r="E139" s="7"/>
      <c r="F139"/>
      <c r="G139"/>
      <c r="H139" s="10"/>
      <c r="I139" s="10"/>
      <c r="J139" s="10"/>
      <c r="K139" s="10"/>
      <c r="L139" s="10"/>
      <c r="M139" s="51"/>
    </row>
    <row r="140" spans="1:13" x14ac:dyDescent="0.2">
      <c r="A140"/>
      <c r="B140"/>
      <c r="C140"/>
      <c r="D140"/>
      <c r="E140" s="7"/>
      <c r="F140"/>
      <c r="G140"/>
      <c r="H140" s="10"/>
      <c r="I140" s="10"/>
      <c r="J140" s="10"/>
      <c r="K140" s="10"/>
      <c r="L140" s="10"/>
      <c r="M140" s="51"/>
    </row>
    <row r="141" spans="1:13" x14ac:dyDescent="0.2">
      <c r="A141"/>
      <c r="B141"/>
      <c r="C141"/>
      <c r="D141"/>
      <c r="E141" s="7"/>
      <c r="F141"/>
      <c r="G141"/>
      <c r="H141" s="10"/>
      <c r="I141" s="10"/>
      <c r="J141" s="10"/>
      <c r="K141" s="10"/>
      <c r="L141" s="10"/>
      <c r="M141" s="51"/>
    </row>
    <row r="142" spans="1:13" x14ac:dyDescent="0.2">
      <c r="A142"/>
      <c r="B142"/>
      <c r="C142"/>
      <c r="D142"/>
      <c r="E142" s="7"/>
      <c r="F142"/>
      <c r="G142"/>
      <c r="H142" s="10"/>
      <c r="I142" s="10"/>
      <c r="J142" s="10"/>
      <c r="K142" s="10"/>
      <c r="L142" s="10"/>
      <c r="M142" s="51"/>
    </row>
    <row r="143" spans="1:13" x14ac:dyDescent="0.2">
      <c r="A143"/>
      <c r="B143"/>
      <c r="C143"/>
      <c r="D143"/>
      <c r="E143" s="7"/>
      <c r="F143"/>
      <c r="G143"/>
      <c r="H143" s="10"/>
      <c r="I143" s="10"/>
      <c r="J143" s="10"/>
      <c r="K143" s="10"/>
      <c r="L143" s="10"/>
      <c r="M143" s="51"/>
    </row>
    <row r="144" spans="1:13" x14ac:dyDescent="0.2">
      <c r="A144"/>
      <c r="B144"/>
      <c r="C144"/>
      <c r="D144"/>
      <c r="E144" s="7"/>
      <c r="F144"/>
      <c r="G144"/>
      <c r="H144" s="10"/>
      <c r="I144" s="10"/>
      <c r="J144" s="10"/>
      <c r="K144" s="10"/>
      <c r="L144" s="10"/>
      <c r="M144" s="51"/>
    </row>
    <row r="145" spans="1:13" x14ac:dyDescent="0.2">
      <c r="A145"/>
      <c r="B145"/>
      <c r="C145"/>
      <c r="D145"/>
      <c r="E145" s="7"/>
      <c r="F145"/>
      <c r="G145"/>
      <c r="H145" s="10"/>
      <c r="I145" s="10"/>
      <c r="J145" s="10"/>
      <c r="K145" s="10"/>
      <c r="L145" s="10"/>
      <c r="M145" s="51"/>
    </row>
    <row r="146" spans="1:13" x14ac:dyDescent="0.2">
      <c r="A146"/>
      <c r="B146"/>
      <c r="C146"/>
      <c r="D146"/>
      <c r="E146" s="7"/>
      <c r="F146"/>
      <c r="G146"/>
      <c r="H146" s="10"/>
      <c r="I146" s="10"/>
      <c r="J146" s="10"/>
      <c r="K146" s="10"/>
      <c r="L146" s="10"/>
      <c r="M146" s="51"/>
    </row>
    <row r="147" spans="1:13" x14ac:dyDescent="0.2">
      <c r="A147"/>
      <c r="B147"/>
      <c r="C147"/>
      <c r="D147"/>
      <c r="E147" s="7"/>
      <c r="F147"/>
      <c r="G147"/>
      <c r="H147" s="10"/>
      <c r="I147" s="10"/>
      <c r="J147" s="10"/>
      <c r="K147" s="10"/>
      <c r="L147" s="10"/>
      <c r="M147" s="51"/>
    </row>
    <row r="148" spans="1:13" x14ac:dyDescent="0.2">
      <c r="A148"/>
      <c r="B148"/>
      <c r="C148"/>
      <c r="D148"/>
      <c r="E148" s="7"/>
      <c r="F148"/>
      <c r="G148"/>
      <c r="H148" s="10"/>
      <c r="I148" s="10"/>
      <c r="J148" s="10"/>
      <c r="K148" s="10"/>
      <c r="L148" s="10"/>
      <c r="M148" s="51"/>
    </row>
    <row r="149" spans="1:13" x14ac:dyDescent="0.2">
      <c r="A149"/>
      <c r="B149"/>
      <c r="C149"/>
      <c r="D149"/>
      <c r="E149" s="7"/>
      <c r="F149"/>
      <c r="G149"/>
      <c r="H149" s="10"/>
      <c r="I149" s="10"/>
      <c r="J149" s="10"/>
      <c r="K149" s="10"/>
      <c r="L149" s="10"/>
      <c r="M149" s="51"/>
    </row>
    <row r="150" spans="1:13" x14ac:dyDescent="0.2">
      <c r="A150"/>
      <c r="B150"/>
      <c r="C150"/>
      <c r="D150"/>
      <c r="E150" s="7"/>
      <c r="F150"/>
      <c r="G150"/>
      <c r="H150" s="10"/>
      <c r="I150" s="10"/>
      <c r="J150" s="10"/>
      <c r="K150" s="10"/>
      <c r="L150" s="10"/>
      <c r="M150" s="51"/>
    </row>
    <row r="151" spans="1:13" x14ac:dyDescent="0.2">
      <c r="A151"/>
      <c r="B151"/>
      <c r="C151"/>
      <c r="D151"/>
      <c r="E151" s="7"/>
      <c r="F151"/>
      <c r="G151"/>
      <c r="H151" s="10"/>
      <c r="I151" s="10"/>
      <c r="J151" s="10"/>
      <c r="K151" s="10"/>
      <c r="L151" s="10"/>
      <c r="M151" s="51"/>
    </row>
    <row r="152" spans="1:13" x14ac:dyDescent="0.2">
      <c r="A152"/>
      <c r="B152"/>
      <c r="C152"/>
      <c r="D152"/>
      <c r="E152" s="7"/>
      <c r="F152"/>
      <c r="G152"/>
      <c r="H152" s="10"/>
      <c r="I152" s="10"/>
      <c r="J152" s="10"/>
      <c r="K152" s="10"/>
      <c r="L152" s="10"/>
      <c r="M152" s="51"/>
    </row>
    <row r="153" spans="1:13" x14ac:dyDescent="0.2">
      <c r="A153"/>
      <c r="B153"/>
      <c r="C153"/>
      <c r="D153"/>
      <c r="E153" s="7"/>
      <c r="F153"/>
      <c r="G153"/>
      <c r="H153" s="10"/>
      <c r="I153" s="10"/>
      <c r="J153" s="10"/>
      <c r="K153" s="10"/>
      <c r="L153" s="10"/>
      <c r="M153" s="51"/>
    </row>
    <row r="154" spans="1:13" x14ac:dyDescent="0.2">
      <c r="A154"/>
      <c r="B154"/>
      <c r="C154"/>
      <c r="D154"/>
      <c r="E154" s="7"/>
      <c r="F154"/>
      <c r="G154"/>
      <c r="H154" s="10"/>
      <c r="I154" s="10"/>
      <c r="J154" s="10"/>
      <c r="K154" s="10"/>
      <c r="L154" s="10"/>
      <c r="M154" s="51"/>
    </row>
    <row r="155" spans="1:13" x14ac:dyDescent="0.2">
      <c r="A155"/>
      <c r="B155"/>
      <c r="C155"/>
      <c r="D155"/>
      <c r="E155" s="7"/>
      <c r="F155"/>
      <c r="G155"/>
      <c r="H155" s="10"/>
      <c r="I155" s="10"/>
      <c r="J155" s="10"/>
      <c r="K155" s="10"/>
      <c r="L155" s="10"/>
      <c r="M155" s="51"/>
    </row>
    <row r="156" spans="1:13" x14ac:dyDescent="0.2">
      <c r="A156"/>
      <c r="B156"/>
      <c r="C156"/>
      <c r="D156"/>
      <c r="E156" s="7"/>
      <c r="F156"/>
      <c r="G156"/>
      <c r="H156" s="10"/>
      <c r="I156" s="10"/>
      <c r="J156" s="10"/>
      <c r="K156" s="10"/>
      <c r="L156" s="10"/>
      <c r="M156" s="51"/>
    </row>
    <row r="157" spans="1:13" x14ac:dyDescent="0.2">
      <c r="A157"/>
      <c r="B157"/>
      <c r="C157"/>
      <c r="D157"/>
      <c r="E157" s="7"/>
      <c r="F157"/>
      <c r="G157"/>
      <c r="H157" s="10"/>
      <c r="I157" s="10"/>
      <c r="J157" s="10"/>
      <c r="K157" s="10"/>
      <c r="L157" s="10"/>
      <c r="M157" s="51"/>
    </row>
    <row r="158" spans="1:13" x14ac:dyDescent="0.2">
      <c r="A158"/>
      <c r="B158"/>
      <c r="C158"/>
      <c r="D158"/>
      <c r="E158" s="7"/>
      <c r="F158"/>
      <c r="G158"/>
      <c r="H158" s="10"/>
      <c r="I158" s="10"/>
      <c r="J158" s="10"/>
      <c r="K158" s="10"/>
      <c r="L158" s="10"/>
      <c r="M158" s="51"/>
    </row>
    <row r="159" spans="1:13" x14ac:dyDescent="0.2">
      <c r="A159"/>
      <c r="B159"/>
      <c r="C159"/>
      <c r="D159"/>
      <c r="E159" s="7"/>
      <c r="F159"/>
      <c r="G159"/>
      <c r="H159" s="10"/>
      <c r="I159" s="10"/>
      <c r="J159" s="10"/>
      <c r="K159" s="10"/>
      <c r="L159" s="10"/>
      <c r="M159" s="51"/>
    </row>
    <row r="160" spans="1:13" x14ac:dyDescent="0.2">
      <c r="A160"/>
      <c r="B160"/>
      <c r="C160"/>
      <c r="D160"/>
      <c r="E160" s="7"/>
      <c r="F160"/>
      <c r="G160"/>
      <c r="H160" s="10"/>
      <c r="I160" s="10"/>
      <c r="J160" s="10"/>
      <c r="K160" s="10"/>
      <c r="L160" s="10"/>
      <c r="M160" s="51"/>
    </row>
    <row r="161" spans="1:13" x14ac:dyDescent="0.2">
      <c r="A161"/>
      <c r="B161"/>
      <c r="C161"/>
      <c r="D161"/>
      <c r="E161" s="7"/>
      <c r="F161"/>
      <c r="G161"/>
      <c r="H161" s="10"/>
      <c r="I161" s="10"/>
      <c r="J161" s="10"/>
      <c r="K161" s="10"/>
      <c r="L161" s="10"/>
      <c r="M161" s="51"/>
    </row>
    <row r="162" spans="1:13" x14ac:dyDescent="0.2">
      <c r="A162"/>
      <c r="B162"/>
      <c r="C162"/>
      <c r="D162"/>
      <c r="E162" s="7"/>
      <c r="F162"/>
      <c r="G162"/>
      <c r="H162" s="10"/>
      <c r="I162" s="10"/>
      <c r="J162" s="10"/>
      <c r="K162" s="10"/>
      <c r="L162" s="10"/>
      <c r="M162" s="51"/>
    </row>
    <row r="163" spans="1:13" x14ac:dyDescent="0.2">
      <c r="A163"/>
      <c r="B163"/>
      <c r="C163"/>
      <c r="D163"/>
      <c r="E163" s="7"/>
      <c r="F163"/>
      <c r="G163"/>
      <c r="H163" s="10"/>
      <c r="I163" s="10"/>
      <c r="J163" s="10"/>
      <c r="K163" s="10"/>
      <c r="L163" s="10"/>
      <c r="M163" s="51"/>
    </row>
    <row r="164" spans="1:13" x14ac:dyDescent="0.2">
      <c r="A164"/>
      <c r="B164"/>
      <c r="C164"/>
      <c r="D164"/>
      <c r="E164" s="7"/>
      <c r="F164"/>
      <c r="G164"/>
      <c r="H164" s="10"/>
      <c r="I164" s="10"/>
      <c r="J164" s="10"/>
      <c r="K164" s="10"/>
      <c r="L164" s="10"/>
      <c r="M164" s="51"/>
    </row>
    <row r="165" spans="1:13" x14ac:dyDescent="0.2">
      <c r="A165"/>
      <c r="B165"/>
      <c r="C165"/>
      <c r="D165"/>
      <c r="E165" s="7"/>
      <c r="F165"/>
      <c r="G165"/>
      <c r="H165" s="10"/>
      <c r="I165" s="10"/>
      <c r="J165" s="10"/>
      <c r="K165" s="10"/>
      <c r="L165" s="10"/>
      <c r="M165" s="51"/>
    </row>
    <row r="166" spans="1:13" x14ac:dyDescent="0.2">
      <c r="A166"/>
      <c r="B166"/>
      <c r="C166"/>
      <c r="D166"/>
      <c r="E166" s="7"/>
      <c r="F166"/>
      <c r="G166"/>
      <c r="H166" s="10"/>
      <c r="I166" s="10"/>
      <c r="J166" s="10"/>
      <c r="K166" s="10"/>
      <c r="L166" s="10"/>
      <c r="M166" s="51"/>
    </row>
    <row r="167" spans="1:13" x14ac:dyDescent="0.2">
      <c r="A167"/>
      <c r="B167"/>
      <c r="C167"/>
      <c r="D167"/>
      <c r="E167" s="7"/>
      <c r="F167"/>
      <c r="G167"/>
      <c r="H167" s="10"/>
      <c r="I167" s="10"/>
      <c r="J167" s="10"/>
      <c r="K167" s="10"/>
      <c r="L167" s="10"/>
      <c r="M167" s="51"/>
    </row>
    <row r="168" spans="1:13" x14ac:dyDescent="0.2">
      <c r="A168"/>
      <c r="B168"/>
      <c r="C168"/>
      <c r="D168"/>
      <c r="E168" s="7"/>
      <c r="F168"/>
      <c r="G168"/>
      <c r="H168" s="10"/>
      <c r="I168" s="10"/>
      <c r="J168" s="10"/>
      <c r="K168" s="10"/>
      <c r="L168" s="10"/>
      <c r="M168" s="51"/>
    </row>
    <row r="169" spans="1:13" x14ac:dyDescent="0.2">
      <c r="A169"/>
      <c r="B169"/>
      <c r="C169"/>
      <c r="D169"/>
      <c r="E169" s="7"/>
      <c r="F169"/>
      <c r="G169"/>
      <c r="H169" s="10"/>
      <c r="I169" s="10"/>
      <c r="J169" s="10"/>
      <c r="K169" s="10"/>
      <c r="L169" s="10"/>
      <c r="M169" s="51"/>
    </row>
    <row r="170" spans="1:13" x14ac:dyDescent="0.2">
      <c r="A170"/>
      <c r="B170"/>
      <c r="C170"/>
      <c r="D170"/>
      <c r="E170" s="7"/>
      <c r="F170"/>
      <c r="G170"/>
      <c r="H170" s="10"/>
      <c r="I170" s="10"/>
      <c r="J170" s="10"/>
      <c r="K170" s="10"/>
      <c r="L170" s="10"/>
      <c r="M170" s="51"/>
    </row>
    <row r="171" spans="1:13" x14ac:dyDescent="0.2">
      <c r="A171"/>
      <c r="B171"/>
      <c r="C171"/>
      <c r="D171"/>
      <c r="E171" s="7"/>
      <c r="F171"/>
      <c r="G171"/>
      <c r="H171" s="10"/>
      <c r="I171" s="10"/>
      <c r="J171" s="10"/>
      <c r="K171" s="10"/>
      <c r="L171" s="10"/>
      <c r="M171" s="51"/>
    </row>
    <row r="172" spans="1:13" x14ac:dyDescent="0.2">
      <c r="A172"/>
      <c r="B172"/>
      <c r="C172"/>
      <c r="D172"/>
      <c r="E172" s="7"/>
      <c r="F172"/>
      <c r="G172"/>
      <c r="H172" s="10"/>
      <c r="I172" s="10"/>
      <c r="J172" s="10"/>
      <c r="K172" s="10"/>
      <c r="L172" s="10"/>
      <c r="M172" s="51"/>
    </row>
    <row r="173" spans="1:13" x14ac:dyDescent="0.2">
      <c r="A173"/>
      <c r="B173"/>
      <c r="C173"/>
      <c r="D173"/>
      <c r="E173" s="7"/>
      <c r="F173"/>
      <c r="G173"/>
      <c r="H173" s="10"/>
      <c r="I173" s="10"/>
      <c r="J173" s="10"/>
      <c r="K173" s="10"/>
      <c r="L173" s="10"/>
      <c r="M173" s="51"/>
    </row>
    <row r="174" spans="1:13" x14ac:dyDescent="0.2">
      <c r="A174"/>
      <c r="B174"/>
      <c r="C174"/>
      <c r="D174"/>
      <c r="E174" s="7"/>
      <c r="F174"/>
      <c r="G174"/>
      <c r="H174" s="10"/>
      <c r="I174" s="10"/>
      <c r="J174" s="10"/>
      <c r="K174" s="10"/>
      <c r="L174" s="10"/>
      <c r="M174" s="51"/>
    </row>
    <row r="175" spans="1:13" x14ac:dyDescent="0.2">
      <c r="A175"/>
      <c r="B175"/>
      <c r="C175"/>
      <c r="D175"/>
      <c r="E175" s="7"/>
      <c r="F175"/>
      <c r="G175"/>
      <c r="H175" s="10"/>
      <c r="I175" s="10"/>
      <c r="J175" s="10"/>
      <c r="K175" s="10"/>
      <c r="L175" s="10"/>
      <c r="M175" s="51"/>
    </row>
    <row r="176" spans="1:13" x14ac:dyDescent="0.2">
      <c r="A176"/>
      <c r="B176"/>
      <c r="C176"/>
      <c r="D176"/>
      <c r="E176" s="7"/>
      <c r="F176"/>
      <c r="G176"/>
      <c r="H176" s="10"/>
      <c r="I176" s="10"/>
      <c r="J176" s="10"/>
      <c r="K176" s="10"/>
      <c r="L176" s="10"/>
      <c r="M176" s="51"/>
    </row>
    <row r="177" spans="1:13" x14ac:dyDescent="0.2">
      <c r="A177"/>
      <c r="B177"/>
      <c r="C177"/>
      <c r="D177"/>
      <c r="E177" s="7"/>
      <c r="F177"/>
      <c r="G177"/>
      <c r="H177" s="10"/>
      <c r="I177" s="10"/>
      <c r="J177" s="10"/>
      <c r="K177" s="10"/>
      <c r="L177" s="10"/>
      <c r="M177" s="51"/>
    </row>
    <row r="178" spans="1:13" x14ac:dyDescent="0.2">
      <c r="A178"/>
      <c r="B178"/>
      <c r="C178"/>
      <c r="D178"/>
      <c r="E178" s="7"/>
      <c r="F178"/>
      <c r="G178"/>
      <c r="H178" s="10"/>
      <c r="I178" s="10"/>
      <c r="J178" s="10"/>
      <c r="K178" s="10"/>
      <c r="L178" s="10"/>
      <c r="M178" s="51"/>
    </row>
    <row r="179" spans="1:13" x14ac:dyDescent="0.2">
      <c r="A179"/>
      <c r="B179"/>
      <c r="C179"/>
      <c r="D179"/>
      <c r="E179" s="7"/>
      <c r="F179"/>
      <c r="G179"/>
      <c r="H179" s="10"/>
      <c r="I179" s="10"/>
      <c r="J179" s="10"/>
      <c r="K179" s="10"/>
      <c r="L179" s="10"/>
      <c r="M179" s="51"/>
    </row>
    <row r="180" spans="1:13" x14ac:dyDescent="0.2">
      <c r="A180"/>
      <c r="B180"/>
      <c r="C180"/>
      <c r="D180"/>
      <c r="E180" s="7"/>
      <c r="F180"/>
      <c r="G180"/>
      <c r="H180" s="10"/>
      <c r="I180" s="10"/>
      <c r="J180" s="10"/>
      <c r="K180" s="10"/>
      <c r="L180" s="10"/>
      <c r="M180" s="51"/>
    </row>
    <row r="181" spans="1:13" x14ac:dyDescent="0.2">
      <c r="A181"/>
      <c r="B181"/>
      <c r="C181"/>
      <c r="D181"/>
      <c r="E181" s="7"/>
      <c r="F181"/>
      <c r="G181"/>
      <c r="H181" s="10"/>
      <c r="I181" s="10"/>
      <c r="J181" s="10"/>
      <c r="K181" s="10"/>
      <c r="L181" s="10"/>
      <c r="M181" s="51"/>
    </row>
    <row r="182" spans="1:13" x14ac:dyDescent="0.2">
      <c r="A182"/>
      <c r="B182"/>
      <c r="C182"/>
      <c r="D182"/>
      <c r="E182" s="7"/>
      <c r="F182"/>
      <c r="G182"/>
      <c r="H182" s="10"/>
      <c r="I182" s="10"/>
      <c r="J182" s="10"/>
      <c r="K182" s="10"/>
      <c r="L182" s="10"/>
      <c r="M182" s="51"/>
    </row>
    <row r="183" spans="1:13" x14ac:dyDescent="0.2">
      <c r="A183"/>
      <c r="B183"/>
      <c r="C183"/>
      <c r="D183"/>
      <c r="E183" s="7"/>
      <c r="F183"/>
      <c r="G183"/>
      <c r="H183" s="10"/>
      <c r="I183" s="10"/>
      <c r="J183" s="10"/>
      <c r="K183" s="10"/>
      <c r="L183" s="10"/>
      <c r="M183" s="51"/>
    </row>
    <row r="184" spans="1:13" x14ac:dyDescent="0.2">
      <c r="A184"/>
      <c r="B184"/>
      <c r="C184"/>
      <c r="D184"/>
      <c r="E184" s="7"/>
      <c r="F184"/>
      <c r="G184"/>
      <c r="H184" s="10"/>
      <c r="I184" s="10"/>
      <c r="J184" s="10"/>
      <c r="K184" s="10"/>
      <c r="L184" s="10"/>
      <c r="M184" s="51"/>
    </row>
    <row r="185" spans="1:13" x14ac:dyDescent="0.2">
      <c r="A185"/>
      <c r="B185"/>
      <c r="C185"/>
      <c r="D185"/>
      <c r="E185" s="7"/>
      <c r="F185"/>
      <c r="G185"/>
      <c r="H185" s="10"/>
      <c r="I185" s="10"/>
      <c r="J185" s="10"/>
      <c r="K185" s="10"/>
      <c r="L185" s="10"/>
      <c r="M185" s="51"/>
    </row>
    <row r="186" spans="1:13" x14ac:dyDescent="0.2">
      <c r="A186"/>
      <c r="B186"/>
      <c r="C186"/>
      <c r="D186"/>
      <c r="E186" s="7"/>
      <c r="F186"/>
      <c r="G186"/>
      <c r="H186" s="10"/>
      <c r="I186" s="10"/>
      <c r="J186" s="10"/>
      <c r="K186" s="10"/>
      <c r="L186" s="10"/>
      <c r="M186" s="51"/>
    </row>
    <row r="187" spans="1:13" x14ac:dyDescent="0.2">
      <c r="A187"/>
      <c r="B187"/>
      <c r="C187"/>
      <c r="D187"/>
      <c r="E187" s="7"/>
      <c r="F187"/>
      <c r="G187"/>
      <c r="H187" s="10"/>
      <c r="I187" s="10"/>
      <c r="J187" s="10"/>
      <c r="K187" s="10"/>
      <c r="L187" s="10"/>
      <c r="M187" s="51"/>
    </row>
    <row r="188" spans="1:13" x14ac:dyDescent="0.2">
      <c r="A188"/>
      <c r="B188"/>
      <c r="C188"/>
      <c r="D188"/>
      <c r="E188" s="7"/>
      <c r="F188"/>
      <c r="G188"/>
      <c r="H188" s="10"/>
      <c r="I188" s="10"/>
      <c r="J188" s="10"/>
      <c r="K188" s="10"/>
      <c r="L188" s="10"/>
      <c r="M188" s="51"/>
    </row>
    <row r="189" spans="1:13" x14ac:dyDescent="0.2">
      <c r="A189"/>
      <c r="B189"/>
      <c r="C189"/>
      <c r="D189"/>
      <c r="E189" s="7"/>
      <c r="F189"/>
      <c r="G189"/>
      <c r="H189" s="10"/>
      <c r="I189" s="10"/>
      <c r="J189" s="10"/>
      <c r="K189" s="10"/>
      <c r="L189" s="10"/>
      <c r="M189" s="51"/>
    </row>
    <row r="190" spans="1:13" x14ac:dyDescent="0.2">
      <c r="A190"/>
      <c r="B190"/>
      <c r="C190"/>
      <c r="D190"/>
      <c r="E190" s="7"/>
      <c r="F190"/>
      <c r="G190"/>
      <c r="H190" s="10"/>
      <c r="I190" s="10"/>
      <c r="J190" s="10"/>
      <c r="K190" s="10"/>
      <c r="L190" s="10"/>
      <c r="M190" s="51"/>
    </row>
    <row r="191" spans="1:13" x14ac:dyDescent="0.2">
      <c r="A191"/>
      <c r="B191"/>
      <c r="C191"/>
      <c r="D191"/>
      <c r="E191" s="7"/>
      <c r="F191"/>
      <c r="G191"/>
      <c r="H191" s="10"/>
      <c r="I191" s="10"/>
      <c r="J191" s="10"/>
      <c r="K191" s="10"/>
      <c r="L191" s="10"/>
      <c r="M191" s="51"/>
    </row>
    <row r="192" spans="1:13" x14ac:dyDescent="0.2">
      <c r="A192"/>
      <c r="B192"/>
      <c r="C192"/>
      <c r="D192"/>
      <c r="E192" s="7"/>
      <c r="F192"/>
      <c r="G192"/>
      <c r="H192" s="10"/>
      <c r="I192" s="10"/>
      <c r="J192" s="10"/>
      <c r="K192" s="10"/>
      <c r="L192" s="10"/>
      <c r="M192" s="51"/>
    </row>
    <row r="193" spans="1:13" x14ac:dyDescent="0.2">
      <c r="A193"/>
      <c r="B193"/>
      <c r="C193"/>
      <c r="D193"/>
      <c r="E193" s="7"/>
      <c r="F193"/>
      <c r="G193"/>
      <c r="H193" s="10"/>
      <c r="I193" s="10"/>
      <c r="J193" s="10"/>
      <c r="K193" s="10"/>
      <c r="L193" s="10"/>
      <c r="M193" s="51"/>
    </row>
    <row r="194" spans="1:13" x14ac:dyDescent="0.2">
      <c r="A194"/>
      <c r="B194"/>
      <c r="C194"/>
      <c r="D194"/>
      <c r="E194" s="7"/>
      <c r="F194"/>
      <c r="G194"/>
      <c r="H194" s="10"/>
      <c r="I194" s="10"/>
      <c r="J194" s="10"/>
      <c r="K194" s="10"/>
      <c r="L194" s="10"/>
      <c r="M194" s="51"/>
    </row>
    <row r="195" spans="1:13" x14ac:dyDescent="0.2">
      <c r="A195"/>
      <c r="B195"/>
      <c r="C195"/>
      <c r="D195"/>
      <c r="E195" s="7"/>
      <c r="F195"/>
      <c r="G195"/>
      <c r="H195" s="10"/>
      <c r="I195" s="10"/>
      <c r="J195" s="10"/>
      <c r="K195" s="10"/>
      <c r="L195" s="10"/>
      <c r="M195" s="51"/>
    </row>
    <row r="196" spans="1:13" x14ac:dyDescent="0.2">
      <c r="A196"/>
      <c r="B196"/>
      <c r="C196"/>
      <c r="D196"/>
      <c r="E196" s="7"/>
      <c r="F196"/>
      <c r="G196"/>
      <c r="H196" s="10"/>
      <c r="I196" s="10"/>
      <c r="J196" s="10"/>
      <c r="K196" s="10"/>
      <c r="L196" s="10"/>
      <c r="M196" s="51"/>
    </row>
    <row r="197" spans="1:13" x14ac:dyDescent="0.2">
      <c r="A197"/>
      <c r="B197"/>
      <c r="C197"/>
      <c r="D197"/>
      <c r="E197" s="7"/>
      <c r="F197"/>
      <c r="G197"/>
      <c r="H197" s="10"/>
      <c r="I197" s="10"/>
      <c r="J197" s="10"/>
      <c r="K197" s="10"/>
      <c r="L197" s="10"/>
      <c r="M197" s="51"/>
    </row>
    <row r="198" spans="1:13" x14ac:dyDescent="0.2">
      <c r="A198"/>
      <c r="B198"/>
      <c r="C198"/>
      <c r="D198"/>
      <c r="E198" s="7"/>
      <c r="F198"/>
      <c r="G198"/>
      <c r="H198" s="10"/>
      <c r="I198" s="10"/>
      <c r="J198" s="10"/>
      <c r="K198" s="10"/>
      <c r="L198" s="10"/>
      <c r="M198" s="51"/>
    </row>
    <row r="199" spans="1:13" x14ac:dyDescent="0.2">
      <c r="A199"/>
      <c r="B199"/>
      <c r="C199"/>
      <c r="D199"/>
      <c r="E199" s="7"/>
      <c r="F199"/>
      <c r="G199"/>
      <c r="H199" s="10"/>
      <c r="I199" s="10"/>
      <c r="J199" s="10"/>
      <c r="K199" s="10"/>
      <c r="L199" s="10"/>
      <c r="M199" s="51"/>
    </row>
    <row r="200" spans="1:13" x14ac:dyDescent="0.2">
      <c r="A200"/>
      <c r="B200"/>
      <c r="C200"/>
      <c r="D200"/>
      <c r="E200" s="7"/>
      <c r="F200"/>
      <c r="G200"/>
      <c r="H200" s="10"/>
      <c r="I200" s="10"/>
      <c r="J200" s="10"/>
      <c r="K200" s="10"/>
      <c r="L200" s="10"/>
      <c r="M200" s="51"/>
    </row>
    <row r="201" spans="1:13" x14ac:dyDescent="0.2">
      <c r="A201"/>
      <c r="B201"/>
      <c r="C201"/>
      <c r="D201"/>
      <c r="E201" s="7"/>
      <c r="F201"/>
      <c r="G201"/>
      <c r="H201" s="10"/>
      <c r="I201" s="10"/>
      <c r="J201" s="10"/>
      <c r="K201" s="10"/>
      <c r="L201" s="10"/>
      <c r="M201" s="51"/>
    </row>
    <row r="202" spans="1:13" x14ac:dyDescent="0.2">
      <c r="A202"/>
      <c r="B202"/>
      <c r="C202"/>
      <c r="D202"/>
      <c r="E202" s="7"/>
      <c r="F202"/>
      <c r="G202"/>
      <c r="H202" s="10"/>
      <c r="I202" s="10"/>
      <c r="J202" s="10"/>
      <c r="K202" s="10"/>
      <c r="L202" s="10"/>
      <c r="M202" s="51"/>
    </row>
    <row r="203" spans="1:13" x14ac:dyDescent="0.2">
      <c r="A203"/>
      <c r="B203"/>
      <c r="C203"/>
      <c r="D203"/>
      <c r="E203" s="7"/>
      <c r="F203"/>
      <c r="G203"/>
      <c r="H203" s="10"/>
      <c r="I203" s="10"/>
      <c r="J203" s="10"/>
      <c r="K203" s="10"/>
      <c r="L203" s="10"/>
      <c r="M203" s="51"/>
    </row>
    <row r="204" spans="1:13" x14ac:dyDescent="0.2">
      <c r="A204"/>
      <c r="B204"/>
      <c r="C204"/>
      <c r="D204"/>
      <c r="E204" s="7"/>
      <c r="F204"/>
      <c r="G204"/>
      <c r="H204" s="10"/>
      <c r="I204" s="10"/>
      <c r="J204" s="10"/>
      <c r="K204" s="10"/>
      <c r="L204" s="10"/>
      <c r="M204" s="51"/>
    </row>
    <row r="205" spans="1:13" x14ac:dyDescent="0.2">
      <c r="A205"/>
      <c r="B205"/>
      <c r="C205"/>
      <c r="D205"/>
      <c r="E205" s="7"/>
      <c r="F205"/>
      <c r="G205"/>
      <c r="H205" s="10"/>
      <c r="I205" s="10"/>
      <c r="J205" s="10"/>
      <c r="K205" s="10"/>
      <c r="L205" s="10"/>
      <c r="M205" s="51"/>
    </row>
    <row r="206" spans="1:13" x14ac:dyDescent="0.2">
      <c r="A206"/>
      <c r="B206"/>
      <c r="C206"/>
      <c r="D206"/>
      <c r="E206" s="7"/>
      <c r="F206"/>
      <c r="G206"/>
      <c r="H206" s="10"/>
      <c r="I206" s="10"/>
      <c r="J206" s="10"/>
      <c r="K206" s="10"/>
      <c r="L206" s="10"/>
      <c r="M206" s="51"/>
    </row>
    <row r="207" spans="1:13" x14ac:dyDescent="0.2">
      <c r="A207"/>
      <c r="B207"/>
      <c r="C207"/>
      <c r="D207"/>
      <c r="E207" s="7"/>
      <c r="F207"/>
      <c r="G207"/>
      <c r="H207" s="10"/>
      <c r="I207" s="10"/>
      <c r="J207" s="10"/>
      <c r="K207" s="10"/>
      <c r="L207" s="10"/>
      <c r="M207" s="51"/>
    </row>
    <row r="208" spans="1:13" x14ac:dyDescent="0.2">
      <c r="A208"/>
      <c r="B208"/>
      <c r="C208"/>
      <c r="D208"/>
      <c r="E208" s="7"/>
      <c r="F208"/>
      <c r="G208"/>
      <c r="H208" s="10"/>
      <c r="I208" s="10"/>
      <c r="J208" s="10"/>
      <c r="K208" s="10"/>
      <c r="L208" s="10"/>
      <c r="M208" s="51"/>
    </row>
    <row r="209" spans="1:13" x14ac:dyDescent="0.2">
      <c r="A209"/>
      <c r="B209"/>
      <c r="C209"/>
      <c r="D209"/>
      <c r="E209" s="7"/>
      <c r="F209"/>
      <c r="G209"/>
      <c r="H209" s="10"/>
      <c r="I209" s="10"/>
      <c r="J209" s="10"/>
      <c r="K209" s="10"/>
      <c r="L209" s="10"/>
      <c r="M209" s="51"/>
    </row>
    <row r="210" spans="1:13" x14ac:dyDescent="0.2">
      <c r="A210"/>
      <c r="B210"/>
      <c r="C210"/>
      <c r="D210"/>
      <c r="E210" s="7"/>
      <c r="F210"/>
      <c r="G210"/>
      <c r="H210" s="10"/>
      <c r="I210" s="10"/>
      <c r="J210" s="10"/>
      <c r="K210" s="10"/>
      <c r="L210" s="10"/>
      <c r="M210" s="51"/>
    </row>
    <row r="211" spans="1:13" x14ac:dyDescent="0.2">
      <c r="A211"/>
      <c r="B211"/>
      <c r="C211"/>
      <c r="D211"/>
      <c r="E211" s="7"/>
      <c r="F211"/>
      <c r="G211"/>
      <c r="H211" s="10"/>
      <c r="I211" s="10"/>
      <c r="J211" s="10"/>
      <c r="K211" s="10"/>
      <c r="L211" s="10"/>
      <c r="M211" s="51"/>
    </row>
    <row r="212" spans="1:13" x14ac:dyDescent="0.2">
      <c r="A212"/>
      <c r="B212"/>
      <c r="C212"/>
      <c r="D212"/>
      <c r="E212" s="7"/>
      <c r="F212"/>
      <c r="G212"/>
      <c r="H212" s="10"/>
      <c r="I212" s="10"/>
      <c r="J212" s="10"/>
      <c r="K212" s="10"/>
      <c r="L212" s="10"/>
      <c r="M212" s="51"/>
    </row>
    <row r="213" spans="1:13" x14ac:dyDescent="0.2">
      <c r="A213"/>
      <c r="B213"/>
      <c r="C213"/>
      <c r="D213"/>
      <c r="E213" s="7"/>
      <c r="F213"/>
      <c r="G213"/>
      <c r="H213" s="10"/>
      <c r="I213" s="10"/>
      <c r="J213" s="10"/>
      <c r="K213" s="10"/>
      <c r="L213" s="10"/>
      <c r="M213" s="51"/>
    </row>
    <row r="214" spans="1:13" x14ac:dyDescent="0.2">
      <c r="A214"/>
      <c r="B214"/>
      <c r="C214"/>
      <c r="D214"/>
      <c r="E214" s="7"/>
      <c r="F214"/>
      <c r="G214"/>
      <c r="H214" s="10"/>
      <c r="I214" s="10"/>
      <c r="J214" s="10"/>
      <c r="K214" s="10"/>
      <c r="L214" s="10"/>
      <c r="M214" s="51"/>
    </row>
    <row r="215" spans="1:13" x14ac:dyDescent="0.2">
      <c r="A215"/>
      <c r="B215"/>
      <c r="C215"/>
      <c r="D215"/>
      <c r="E215" s="7"/>
      <c r="F215"/>
      <c r="G215"/>
      <c r="H215" s="10"/>
      <c r="I215" s="10"/>
      <c r="J215" s="10"/>
      <c r="K215" s="10"/>
      <c r="L215" s="10"/>
      <c r="M215" s="51"/>
    </row>
    <row r="216" spans="1:13" x14ac:dyDescent="0.2">
      <c r="A216"/>
      <c r="B216"/>
      <c r="C216"/>
      <c r="D216"/>
      <c r="E216" s="7"/>
      <c r="F216"/>
      <c r="G216"/>
      <c r="H216" s="10"/>
      <c r="I216" s="10"/>
      <c r="J216" s="10"/>
      <c r="K216" s="10"/>
      <c r="L216" s="10"/>
      <c r="M216" s="51"/>
    </row>
    <row r="217" spans="1:13" x14ac:dyDescent="0.2">
      <c r="A217"/>
      <c r="B217"/>
      <c r="C217"/>
      <c r="D217"/>
      <c r="E217" s="7"/>
      <c r="F217"/>
      <c r="G217"/>
      <c r="H217" s="10"/>
      <c r="I217" s="10"/>
      <c r="J217" s="10"/>
      <c r="K217" s="10"/>
      <c r="L217" s="10"/>
      <c r="M217" s="51"/>
    </row>
    <row r="218" spans="1:13" x14ac:dyDescent="0.2">
      <c r="A218"/>
      <c r="B218"/>
      <c r="C218"/>
      <c r="D218"/>
      <c r="E218" s="7"/>
      <c r="F218"/>
      <c r="G218"/>
      <c r="H218" s="10"/>
      <c r="I218" s="10"/>
      <c r="J218" s="10"/>
      <c r="K218" s="10"/>
      <c r="L218" s="10"/>
      <c r="M218" s="51"/>
    </row>
    <row r="219" spans="1:13" x14ac:dyDescent="0.2">
      <c r="A219"/>
      <c r="B219"/>
      <c r="C219"/>
      <c r="D219"/>
      <c r="E219" s="7"/>
      <c r="F219"/>
      <c r="G219"/>
      <c r="H219" s="10"/>
      <c r="I219" s="10"/>
      <c r="J219" s="10"/>
      <c r="K219" s="10"/>
      <c r="L219" s="10"/>
      <c r="M219" s="51"/>
    </row>
    <row r="220" spans="1:13" x14ac:dyDescent="0.2">
      <c r="A220"/>
      <c r="B220"/>
      <c r="C220"/>
      <c r="D220"/>
      <c r="E220" s="7"/>
      <c r="F220"/>
      <c r="G220"/>
      <c r="H220" s="10"/>
      <c r="I220" s="10"/>
      <c r="J220" s="10"/>
      <c r="K220" s="10"/>
      <c r="L220" s="10"/>
      <c r="M220" s="51"/>
    </row>
    <row r="221" spans="1:13" x14ac:dyDescent="0.2">
      <c r="A221"/>
      <c r="B221"/>
      <c r="C221"/>
      <c r="D221"/>
      <c r="E221" s="7"/>
      <c r="F221"/>
      <c r="G221"/>
      <c r="H221" s="10"/>
      <c r="I221" s="10"/>
      <c r="J221" s="10"/>
      <c r="K221" s="10"/>
      <c r="L221" s="10"/>
      <c r="M221" s="51"/>
    </row>
    <row r="222" spans="1:13" x14ac:dyDescent="0.2">
      <c r="A222"/>
      <c r="B222"/>
      <c r="C222"/>
      <c r="D222"/>
      <c r="E222" s="7"/>
      <c r="F222"/>
      <c r="G222"/>
      <c r="H222" s="10"/>
      <c r="I222" s="10"/>
      <c r="J222" s="10"/>
      <c r="K222" s="10"/>
      <c r="L222" s="10"/>
      <c r="M222" s="51"/>
    </row>
    <row r="223" spans="1:13" x14ac:dyDescent="0.2">
      <c r="A223"/>
      <c r="B223"/>
      <c r="C223"/>
      <c r="D223"/>
      <c r="E223" s="7"/>
      <c r="F223"/>
      <c r="G223"/>
      <c r="H223" s="10"/>
      <c r="I223" s="10"/>
      <c r="J223" s="10"/>
      <c r="K223" s="10"/>
      <c r="L223" s="10"/>
      <c r="M223" s="51"/>
    </row>
    <row r="224" spans="1:13" x14ac:dyDescent="0.2">
      <c r="A224"/>
      <c r="B224"/>
      <c r="C224"/>
      <c r="D224"/>
      <c r="E224" s="7"/>
      <c r="F224"/>
      <c r="G224"/>
      <c r="H224" s="10"/>
      <c r="I224" s="10"/>
      <c r="J224" s="10"/>
      <c r="K224" s="10"/>
      <c r="L224" s="10"/>
      <c r="M224" s="51"/>
    </row>
    <row r="225" spans="1:13" x14ac:dyDescent="0.2">
      <c r="A225"/>
      <c r="B225"/>
      <c r="C225"/>
      <c r="D225"/>
      <c r="E225" s="7"/>
      <c r="F225"/>
      <c r="G225"/>
      <c r="H225" s="10"/>
      <c r="I225" s="10"/>
      <c r="J225" s="10"/>
      <c r="K225" s="10"/>
      <c r="L225" s="10"/>
      <c r="M225" s="51"/>
    </row>
    <row r="226" spans="1:13" x14ac:dyDescent="0.2">
      <c r="A226"/>
      <c r="B226"/>
      <c r="C226"/>
      <c r="D226"/>
      <c r="E226" s="7"/>
      <c r="F226"/>
      <c r="G226"/>
      <c r="H226" s="10"/>
      <c r="I226" s="10"/>
      <c r="J226" s="10"/>
      <c r="K226" s="10"/>
      <c r="L226" s="10"/>
      <c r="M226" s="51"/>
    </row>
    <row r="227" spans="1:13" x14ac:dyDescent="0.2">
      <c r="A227"/>
      <c r="B227"/>
      <c r="C227"/>
      <c r="D227"/>
      <c r="E227" s="7"/>
      <c r="F227"/>
      <c r="G227"/>
      <c r="H227" s="10"/>
      <c r="I227" s="10"/>
      <c r="J227" s="10"/>
      <c r="K227" s="10"/>
      <c r="L227" s="10"/>
      <c r="M227" s="51"/>
    </row>
    <row r="228" spans="1:13" x14ac:dyDescent="0.2">
      <c r="A228"/>
      <c r="B228"/>
      <c r="C228"/>
      <c r="D228"/>
      <c r="E228" s="7"/>
      <c r="F228"/>
      <c r="G228"/>
      <c r="H228" s="10"/>
      <c r="I228" s="10"/>
      <c r="J228" s="10"/>
      <c r="K228" s="10"/>
      <c r="L228" s="10"/>
      <c r="M228" s="51"/>
    </row>
    <row r="229" spans="1:13" x14ac:dyDescent="0.2">
      <c r="A229"/>
      <c r="B229"/>
      <c r="C229"/>
      <c r="D229"/>
      <c r="E229" s="7"/>
      <c r="F229"/>
      <c r="G229"/>
      <c r="H229" s="10"/>
      <c r="I229" s="10"/>
      <c r="J229" s="10"/>
      <c r="K229" s="10"/>
      <c r="L229" s="10"/>
      <c r="M229" s="51"/>
    </row>
    <row r="230" spans="1:13" x14ac:dyDescent="0.2">
      <c r="A230"/>
      <c r="B230"/>
      <c r="C230"/>
      <c r="D230"/>
      <c r="E230" s="7"/>
      <c r="F230"/>
      <c r="G230"/>
      <c r="H230" s="10"/>
      <c r="I230" s="10"/>
      <c r="J230" s="10"/>
      <c r="K230" s="10"/>
      <c r="L230" s="10"/>
      <c r="M230" s="51"/>
    </row>
    <row r="231" spans="1:13" x14ac:dyDescent="0.2">
      <c r="A231"/>
      <c r="B231"/>
      <c r="C231"/>
      <c r="D231"/>
      <c r="E231" s="7"/>
      <c r="F231"/>
      <c r="G231"/>
      <c r="H231" s="10"/>
      <c r="I231" s="10"/>
      <c r="J231" s="10"/>
      <c r="K231" s="10"/>
      <c r="L231" s="10"/>
      <c r="M231" s="51"/>
    </row>
    <row r="232" spans="1:13" x14ac:dyDescent="0.2">
      <c r="A232"/>
      <c r="B232"/>
      <c r="C232"/>
      <c r="D232"/>
      <c r="E232" s="7"/>
      <c r="F232"/>
      <c r="G232"/>
      <c r="H232" s="10"/>
      <c r="I232" s="10"/>
      <c r="J232" s="10"/>
      <c r="K232" s="10"/>
      <c r="L232" s="10"/>
      <c r="M232" s="51"/>
    </row>
    <row r="233" spans="1:13" x14ac:dyDescent="0.2">
      <c r="A233"/>
      <c r="B233"/>
      <c r="C233"/>
      <c r="D233"/>
      <c r="E233" s="7"/>
      <c r="F233"/>
      <c r="G233"/>
      <c r="H233" s="10"/>
      <c r="I233" s="10"/>
      <c r="J233" s="10"/>
      <c r="K233" s="10"/>
      <c r="L233" s="10"/>
      <c r="M233" s="51"/>
    </row>
    <row r="234" spans="1:13" x14ac:dyDescent="0.2">
      <c r="A234"/>
      <c r="B234"/>
      <c r="C234"/>
      <c r="D234"/>
      <c r="E234" s="7"/>
      <c r="F234"/>
      <c r="G234"/>
      <c r="H234" s="10"/>
      <c r="I234" s="10"/>
      <c r="J234" s="10"/>
      <c r="K234" s="10"/>
      <c r="L234" s="10"/>
      <c r="M234" s="51"/>
    </row>
  </sheetData>
  <autoFilter ref="A1:M234"/>
  <pageMargins left="0.75" right="0.75" top="1" bottom="1" header="0.5" footer="0.5"/>
  <pageSetup scale="7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5"/>
  <sheetViews>
    <sheetView zoomScale="120" zoomScaleNormal="120" workbookViewId="0">
      <pane ySplit="1" topLeftCell="A2" activePane="bottomLeft" state="frozen"/>
      <selection pane="bottomLeft" activeCell="J13" sqref="J13"/>
    </sheetView>
  </sheetViews>
  <sheetFormatPr defaultColWidth="9.140625" defaultRowHeight="12.75" x14ac:dyDescent="0.2"/>
  <cols>
    <col min="1" max="1" width="10.140625" style="3" customWidth="1"/>
    <col min="2" max="2" width="25.7109375" style="3" customWidth="1"/>
    <col min="3" max="3" width="10.85546875" style="3" bestFit="1" customWidth="1"/>
    <col min="4" max="4" width="13.7109375" style="3" customWidth="1"/>
    <col min="5" max="5" width="11.42578125" style="8" customWidth="1"/>
    <col min="6" max="7" width="8" style="3" customWidth="1"/>
    <col min="8" max="8" width="8" style="11" customWidth="1"/>
    <col min="9" max="9" width="10.5703125" style="11" customWidth="1"/>
    <col min="10" max="10" width="15.28515625" style="11" customWidth="1"/>
    <col min="11" max="11" width="9.140625" style="11" customWidth="1"/>
    <col min="12" max="12" width="8" style="11" customWidth="1"/>
    <col min="13" max="13" width="116.28515625" style="82" customWidth="1"/>
    <col min="14" max="14" width="27.85546875" style="14" bestFit="1" customWidth="1"/>
    <col min="15" max="16384" width="9.140625" style="3"/>
  </cols>
  <sheetData>
    <row r="1" spans="1:14" s="1" customFormat="1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1" t="s">
        <v>5</v>
      </c>
      <c r="G1" s="1" t="s">
        <v>6</v>
      </c>
      <c r="H1" s="9" t="s">
        <v>7</v>
      </c>
      <c r="I1" s="30" t="s">
        <v>8</v>
      </c>
      <c r="J1" s="30" t="s">
        <v>9</v>
      </c>
      <c r="K1" s="16" t="s">
        <v>10</v>
      </c>
      <c r="L1" s="16" t="s">
        <v>11</v>
      </c>
      <c r="M1" s="77" t="s">
        <v>12</v>
      </c>
      <c r="N1" s="13"/>
    </row>
    <row r="2" spans="1:14" s="1" customFormat="1" x14ac:dyDescent="0.2">
      <c r="A2" s="18" t="s">
        <v>218</v>
      </c>
      <c r="B2" t="s">
        <v>126</v>
      </c>
      <c r="C2" s="5">
        <v>44256</v>
      </c>
      <c r="D2" s="2" t="s">
        <v>44</v>
      </c>
      <c r="E2" s="7">
        <v>14812</v>
      </c>
      <c r="F2" s="20"/>
      <c r="G2" s="20"/>
      <c r="H2" s="19">
        <v>-0.77639999999999998</v>
      </c>
      <c r="I2" s="10"/>
      <c r="J2" s="10"/>
      <c r="K2" s="10">
        <v>0</v>
      </c>
      <c r="L2" s="93">
        <v>-862</v>
      </c>
      <c r="M2" s="197">
        <f>0.1686-0.945</f>
        <v>-0.77639999999999998</v>
      </c>
      <c r="N2" s="13"/>
    </row>
    <row r="3" spans="1:14" x14ac:dyDescent="0.2">
      <c r="A3" s="18" t="s">
        <v>218</v>
      </c>
      <c r="B3" t="s">
        <v>126</v>
      </c>
      <c r="C3" s="5">
        <v>44256</v>
      </c>
      <c r="D3" s="2" t="s">
        <v>46</v>
      </c>
      <c r="E3" s="7">
        <v>13390036</v>
      </c>
      <c r="F3" s="20"/>
      <c r="G3" s="20"/>
      <c r="H3" s="37">
        <v>-0.64939999999999998</v>
      </c>
      <c r="I3" s="10"/>
      <c r="J3" s="10"/>
      <c r="K3" s="10"/>
      <c r="L3" s="10"/>
      <c r="M3" s="161">
        <f>-0.5494-0.1</f>
        <v>-0.64939999999999998</v>
      </c>
      <c r="N3" s="3"/>
    </row>
    <row r="4" spans="1:14" x14ac:dyDescent="0.2">
      <c r="A4" s="18" t="s">
        <v>218</v>
      </c>
      <c r="B4" t="s">
        <v>126</v>
      </c>
      <c r="C4" s="5">
        <v>44256</v>
      </c>
      <c r="D4" s="2" t="s">
        <v>23</v>
      </c>
      <c r="E4" s="7"/>
      <c r="F4"/>
      <c r="G4"/>
      <c r="H4" s="37">
        <v>-1.1417999999999999</v>
      </c>
      <c r="I4" s="10"/>
      <c r="J4" s="10"/>
      <c r="K4" s="10"/>
      <c r="L4" s="10"/>
      <c r="M4" s="161">
        <v>-1.1417999999999999</v>
      </c>
      <c r="N4" s="17"/>
    </row>
    <row r="5" spans="1:14" x14ac:dyDescent="0.2">
      <c r="A5" s="18" t="s">
        <v>218</v>
      </c>
      <c r="B5" t="s">
        <v>126</v>
      </c>
      <c r="C5" s="5">
        <v>44256</v>
      </c>
      <c r="D5" s="2" t="s">
        <v>21</v>
      </c>
      <c r="E5" s="7"/>
      <c r="F5" s="3">
        <v>150946</v>
      </c>
      <c r="G5">
        <v>521735</v>
      </c>
      <c r="H5" s="37">
        <v>1.9317</v>
      </c>
      <c r="I5" s="10"/>
      <c r="J5" s="10"/>
      <c r="K5" s="10"/>
      <c r="L5" s="10"/>
      <c r="M5" s="161">
        <v>1.9317</v>
      </c>
      <c r="N5" s="17"/>
    </row>
    <row r="6" spans="1:14" x14ac:dyDescent="0.2">
      <c r="A6" s="18" t="s">
        <v>218</v>
      </c>
      <c r="B6" t="s">
        <v>126</v>
      </c>
      <c r="C6" s="5">
        <v>44285</v>
      </c>
      <c r="D6" s="2" t="s">
        <v>44</v>
      </c>
      <c r="E6" s="7">
        <v>14812</v>
      </c>
      <c r="F6" s="20"/>
      <c r="G6" s="20"/>
      <c r="H6" s="19">
        <v>-0.77639999999999998</v>
      </c>
      <c r="I6" s="10"/>
      <c r="J6" s="197"/>
      <c r="K6" s="10">
        <v>0</v>
      </c>
      <c r="L6" s="93">
        <v>-862</v>
      </c>
      <c r="M6" s="197" t="s">
        <v>222</v>
      </c>
      <c r="N6" s="17"/>
    </row>
    <row r="7" spans="1:14" x14ac:dyDescent="0.2">
      <c r="A7" s="18" t="s">
        <v>218</v>
      </c>
      <c r="B7" t="s">
        <v>126</v>
      </c>
      <c r="C7" s="5">
        <v>44285</v>
      </c>
      <c r="D7" s="2" t="s">
        <v>46</v>
      </c>
      <c r="E7" s="7">
        <v>13390036</v>
      </c>
      <c r="F7" s="20"/>
      <c r="G7" s="20"/>
      <c r="H7" s="37">
        <v>-0.64939999999999998</v>
      </c>
      <c r="I7" s="10"/>
      <c r="J7" s="46"/>
      <c r="K7" s="10"/>
      <c r="L7" s="10"/>
      <c r="M7" s="198" t="s">
        <v>223</v>
      </c>
      <c r="N7" s="17"/>
    </row>
    <row r="8" spans="1:14" x14ac:dyDescent="0.2">
      <c r="A8" s="18" t="s">
        <v>218</v>
      </c>
      <c r="B8" t="s">
        <v>126</v>
      </c>
      <c r="C8" s="5">
        <v>44285</v>
      </c>
      <c r="D8" s="2" t="s">
        <v>23</v>
      </c>
      <c r="E8" s="7"/>
      <c r="F8"/>
      <c r="G8"/>
      <c r="H8" s="37">
        <v>-1.1417999999999999</v>
      </c>
      <c r="I8" s="10"/>
      <c r="J8" s="46"/>
      <c r="K8" s="10"/>
      <c r="L8" s="10"/>
      <c r="M8" s="161">
        <v>-1.1599999999999999</v>
      </c>
    </row>
    <row r="9" spans="1:14" x14ac:dyDescent="0.2">
      <c r="A9" s="18" t="s">
        <v>218</v>
      </c>
      <c r="B9" t="s">
        <v>126</v>
      </c>
      <c r="C9" s="5">
        <v>44285</v>
      </c>
      <c r="D9" s="2" t="s">
        <v>21</v>
      </c>
      <c r="E9" s="7"/>
      <c r="F9" s="3">
        <v>150946</v>
      </c>
      <c r="G9">
        <v>521735</v>
      </c>
      <c r="H9" s="37">
        <v>1.9317</v>
      </c>
      <c r="I9" s="10"/>
      <c r="J9" s="156"/>
      <c r="K9" s="10"/>
      <c r="L9" s="10"/>
      <c r="M9" s="161">
        <v>1.92</v>
      </c>
      <c r="N9" s="17"/>
    </row>
    <row r="10" spans="1:14" x14ac:dyDescent="0.2">
      <c r="A10"/>
      <c r="B10"/>
      <c r="C10" s="5"/>
      <c r="D10" s="41"/>
      <c r="E10" s="7"/>
      <c r="F10"/>
      <c r="G10"/>
      <c r="H10" s="19"/>
      <c r="I10" s="10"/>
      <c r="J10" s="10"/>
      <c r="K10" s="10"/>
      <c r="L10" s="10"/>
      <c r="M10" s="86"/>
      <c r="N10" s="17"/>
    </row>
    <row r="11" spans="1:14" x14ac:dyDescent="0.2">
      <c r="A11"/>
      <c r="B11"/>
      <c r="C11" s="40"/>
      <c r="D11" s="41"/>
      <c r="E11" s="42"/>
      <c r="F11" s="20"/>
      <c r="G11" s="20"/>
      <c r="H11" s="19"/>
      <c r="I11" s="10"/>
      <c r="J11" s="10"/>
      <c r="K11" s="10"/>
      <c r="L11" s="10"/>
      <c r="M11" s="81"/>
    </row>
    <row r="12" spans="1:14" x14ac:dyDescent="0.2">
      <c r="A12"/>
      <c r="B12"/>
      <c r="C12" s="40"/>
      <c r="D12" s="41"/>
      <c r="E12" s="7"/>
      <c r="F12" s="20"/>
      <c r="G12" s="20"/>
      <c r="H12" s="19"/>
      <c r="I12" s="23"/>
      <c r="J12" s="14"/>
      <c r="K12" s="24"/>
      <c r="L12" s="10"/>
      <c r="M12" s="86"/>
    </row>
    <row r="13" spans="1:14" x14ac:dyDescent="0.2">
      <c r="A13"/>
      <c r="B13"/>
      <c r="C13" s="40"/>
      <c r="D13" s="41"/>
      <c r="E13" s="42"/>
      <c r="F13"/>
      <c r="G13"/>
      <c r="H13" s="19"/>
      <c r="I13" s="10"/>
      <c r="J13" s="10"/>
      <c r="K13" s="10"/>
      <c r="L13" s="10"/>
      <c r="M13" s="51"/>
    </row>
    <row r="14" spans="1:14" x14ac:dyDescent="0.2">
      <c r="A14"/>
      <c r="B14"/>
      <c r="C14" s="40"/>
      <c r="D14" s="41"/>
      <c r="E14" s="7"/>
      <c r="F14" s="20"/>
      <c r="G14" s="20"/>
      <c r="H14" s="19"/>
      <c r="I14" s="10"/>
      <c r="J14" s="10"/>
      <c r="K14" s="10"/>
      <c r="L14" s="10"/>
      <c r="M14" s="51"/>
    </row>
    <row r="15" spans="1:14" x14ac:dyDescent="0.2">
      <c r="A15"/>
      <c r="B15"/>
      <c r="C15" s="40"/>
      <c r="D15" s="41"/>
      <c r="E15" s="42"/>
      <c r="F15"/>
      <c r="G15"/>
      <c r="H15" s="19"/>
      <c r="I15" s="10"/>
      <c r="J15" s="10"/>
      <c r="K15" s="10"/>
      <c r="L15" s="10"/>
      <c r="M15" s="51"/>
    </row>
    <row r="16" spans="1:14" x14ac:dyDescent="0.2">
      <c r="A16"/>
      <c r="B16"/>
      <c r="C16" s="40"/>
      <c r="D16" s="41"/>
      <c r="E16" s="7"/>
      <c r="F16" s="20"/>
      <c r="G16" s="20"/>
      <c r="H16" s="19"/>
      <c r="I16" s="10"/>
      <c r="J16" s="10"/>
      <c r="K16" s="10"/>
      <c r="L16" s="10"/>
      <c r="M16" s="51"/>
    </row>
    <row r="17" spans="1:13" x14ac:dyDescent="0.2">
      <c r="A17"/>
      <c r="B17"/>
      <c r="C17" s="40"/>
      <c r="D17" s="41"/>
      <c r="E17" s="42"/>
      <c r="F17"/>
      <c r="G17"/>
      <c r="H17" s="19"/>
      <c r="I17" s="10"/>
      <c r="J17" s="10"/>
      <c r="K17" s="10"/>
      <c r="L17" s="10"/>
      <c r="M17" s="51"/>
    </row>
    <row r="18" spans="1:13" x14ac:dyDescent="0.2">
      <c r="A18"/>
      <c r="B18"/>
      <c r="C18" s="40"/>
      <c r="D18" s="41"/>
      <c r="E18" s="7"/>
      <c r="F18" s="20"/>
      <c r="G18" s="20"/>
      <c r="H18" s="19"/>
      <c r="I18" s="10"/>
      <c r="J18" s="10"/>
      <c r="K18" s="10"/>
      <c r="L18" s="10"/>
      <c r="M18" s="51"/>
    </row>
    <row r="19" spans="1:13" x14ac:dyDescent="0.2">
      <c r="A19"/>
      <c r="B19"/>
      <c r="C19" s="40"/>
      <c r="D19" s="41"/>
      <c r="E19" s="42"/>
      <c r="F19" s="20"/>
      <c r="G19" s="20"/>
      <c r="H19" s="19"/>
      <c r="I19" s="10"/>
      <c r="J19" s="10"/>
      <c r="K19" s="10"/>
      <c r="L19" s="10"/>
      <c r="M19" s="51"/>
    </row>
    <row r="20" spans="1:13" x14ac:dyDescent="0.2">
      <c r="A20"/>
      <c r="B20"/>
      <c r="C20" s="40"/>
      <c r="D20" s="41"/>
      <c r="E20" s="7"/>
      <c r="F20" s="20"/>
      <c r="G20" s="20"/>
      <c r="H20" s="19"/>
      <c r="I20" s="23"/>
      <c r="J20" s="14"/>
      <c r="K20" s="24"/>
      <c r="L20" s="10"/>
      <c r="M20" s="51"/>
    </row>
    <row r="21" spans="1:13" x14ac:dyDescent="0.2">
      <c r="A21"/>
      <c r="B21"/>
      <c r="C21" s="40"/>
      <c r="D21" s="41"/>
      <c r="E21" s="42"/>
      <c r="F21"/>
      <c r="G21"/>
      <c r="H21" s="19"/>
      <c r="I21" s="10"/>
      <c r="J21" s="10"/>
      <c r="K21" s="10"/>
      <c r="L21" s="10"/>
      <c r="M21" s="45"/>
    </row>
    <row r="22" spans="1:13" x14ac:dyDescent="0.2">
      <c r="A22"/>
      <c r="B22"/>
      <c r="C22" s="40"/>
      <c r="D22" s="41"/>
      <c r="E22" s="7"/>
      <c r="F22" s="20"/>
      <c r="G22" s="20"/>
      <c r="H22" s="19"/>
      <c r="I22" s="10"/>
      <c r="J22" s="10"/>
      <c r="K22" s="10"/>
      <c r="L22" s="10"/>
      <c r="M22" s="45"/>
    </row>
    <row r="23" spans="1:13" x14ac:dyDescent="0.2">
      <c r="A23"/>
      <c r="B23"/>
      <c r="C23" s="40"/>
      <c r="D23" s="41"/>
      <c r="E23" s="42"/>
      <c r="F23" s="20"/>
      <c r="G23" s="20"/>
      <c r="H23" s="19"/>
      <c r="I23" s="10"/>
      <c r="J23" s="10"/>
      <c r="K23" s="10"/>
      <c r="L23" s="10"/>
      <c r="M23" s="46"/>
    </row>
    <row r="24" spans="1:13" x14ac:dyDescent="0.2">
      <c r="A24"/>
      <c r="B24"/>
      <c r="C24" s="40"/>
      <c r="D24" s="41"/>
      <c r="E24" s="7"/>
      <c r="F24" s="20"/>
      <c r="G24" s="20"/>
      <c r="H24" s="19"/>
      <c r="I24" s="23"/>
      <c r="J24" s="14"/>
      <c r="K24" s="24"/>
      <c r="L24" s="10"/>
      <c r="M24" s="45"/>
    </row>
    <row r="25" spans="1:13" x14ac:dyDescent="0.2">
      <c r="A25"/>
      <c r="B25"/>
      <c r="C25" s="40"/>
      <c r="D25" s="41"/>
      <c r="E25" s="42"/>
      <c r="F25"/>
      <c r="G25"/>
      <c r="H25" s="19"/>
      <c r="I25" s="10"/>
      <c r="J25" s="10"/>
      <c r="K25" s="10"/>
      <c r="L25" s="10"/>
      <c r="M25" s="45"/>
    </row>
    <row r="26" spans="1:13" x14ac:dyDescent="0.2">
      <c r="A26"/>
      <c r="B26"/>
      <c r="C26" s="40"/>
      <c r="D26" s="41"/>
      <c r="E26" s="7"/>
      <c r="F26" s="20"/>
      <c r="G26" s="20"/>
      <c r="H26" s="19"/>
      <c r="I26" s="10"/>
      <c r="J26" s="10"/>
      <c r="K26" s="10"/>
      <c r="L26" s="10"/>
      <c r="M26" s="45"/>
    </row>
    <row r="27" spans="1:13" x14ac:dyDescent="0.2">
      <c r="A27"/>
      <c r="B27"/>
      <c r="C27" s="40"/>
      <c r="D27" s="41"/>
      <c r="E27" s="42"/>
      <c r="F27" s="20"/>
      <c r="G27" s="20"/>
      <c r="H27" s="19"/>
      <c r="I27" s="10"/>
      <c r="J27" s="10"/>
      <c r="K27" s="10"/>
      <c r="L27" s="10"/>
      <c r="M27" s="46"/>
    </row>
    <row r="28" spans="1:13" x14ac:dyDescent="0.2">
      <c r="A28"/>
      <c r="B28"/>
      <c r="C28" s="40"/>
      <c r="D28" s="41"/>
      <c r="E28" s="7"/>
      <c r="F28" s="20"/>
      <c r="G28" s="20"/>
      <c r="H28" s="19"/>
      <c r="I28" s="23"/>
      <c r="J28" s="14"/>
      <c r="K28" s="24"/>
      <c r="L28" s="10"/>
      <c r="M28" s="45"/>
    </row>
    <row r="29" spans="1:13" x14ac:dyDescent="0.2">
      <c r="A29"/>
      <c r="B29"/>
      <c r="C29" s="40"/>
      <c r="D29" s="41"/>
      <c r="E29" s="42"/>
      <c r="F29"/>
      <c r="G29"/>
      <c r="H29" s="19"/>
      <c r="I29" s="10"/>
      <c r="J29" s="10"/>
      <c r="K29" s="10"/>
      <c r="L29" s="10"/>
      <c r="M29" s="45"/>
    </row>
    <row r="30" spans="1:13" x14ac:dyDescent="0.2">
      <c r="A30"/>
      <c r="B30"/>
      <c r="C30" s="40"/>
      <c r="D30" s="41"/>
      <c r="E30" s="7"/>
      <c r="F30" s="20"/>
      <c r="G30" s="20"/>
      <c r="H30" s="19"/>
      <c r="I30" s="10"/>
      <c r="J30" s="10"/>
      <c r="K30" s="10"/>
      <c r="L30" s="10"/>
      <c r="M30" s="45"/>
    </row>
    <row r="31" spans="1:13" x14ac:dyDescent="0.2">
      <c r="A31"/>
      <c r="B31"/>
      <c r="C31" s="40"/>
      <c r="D31" s="41"/>
      <c r="E31" s="42"/>
      <c r="F31" s="20"/>
      <c r="G31" s="20"/>
      <c r="H31" s="10"/>
      <c r="I31" s="10"/>
      <c r="J31" s="10"/>
      <c r="K31" s="10"/>
      <c r="L31" s="10"/>
      <c r="M31" s="51"/>
    </row>
    <row r="32" spans="1:13" x14ac:dyDescent="0.2">
      <c r="A32"/>
      <c r="B32"/>
      <c r="C32" s="40"/>
      <c r="D32" s="41"/>
      <c r="E32" s="7"/>
      <c r="F32" s="20"/>
      <c r="G32" s="20"/>
      <c r="H32" s="19"/>
      <c r="I32" s="23"/>
      <c r="J32" s="14"/>
      <c r="K32" s="24"/>
      <c r="L32" s="10"/>
      <c r="M32" s="51"/>
    </row>
    <row r="33" spans="1:13" x14ac:dyDescent="0.2">
      <c r="A33"/>
      <c r="B33"/>
      <c r="C33" s="40"/>
      <c r="D33" s="41"/>
      <c r="E33" s="42"/>
      <c r="F33"/>
      <c r="G33"/>
      <c r="H33" s="19"/>
      <c r="I33" s="10"/>
      <c r="J33" s="10"/>
      <c r="K33" s="10"/>
      <c r="L33" s="10"/>
      <c r="M33" s="45"/>
    </row>
    <row r="34" spans="1:13" x14ac:dyDescent="0.2">
      <c r="A34"/>
      <c r="B34"/>
      <c r="C34" s="40"/>
      <c r="D34" s="41"/>
      <c r="E34" s="7"/>
      <c r="F34" s="20"/>
      <c r="G34" s="20"/>
      <c r="H34" s="19"/>
      <c r="I34" s="10"/>
      <c r="J34" s="10"/>
      <c r="K34" s="10"/>
      <c r="L34" s="10"/>
      <c r="M34" s="45"/>
    </row>
    <row r="35" spans="1:13" x14ac:dyDescent="0.2">
      <c r="A35"/>
      <c r="B35"/>
      <c r="C35" s="40"/>
      <c r="D35" s="41"/>
      <c r="E35" s="42"/>
      <c r="F35" s="20"/>
      <c r="G35" s="20"/>
      <c r="H35" s="55"/>
      <c r="I35" s="10"/>
      <c r="J35" s="10"/>
      <c r="K35" s="10"/>
      <c r="L35" s="10"/>
      <c r="M35" s="54"/>
    </row>
    <row r="36" spans="1:13" x14ac:dyDescent="0.2">
      <c r="A36"/>
      <c r="B36"/>
      <c r="C36" s="40"/>
      <c r="D36" s="41"/>
      <c r="E36" s="7"/>
      <c r="F36" s="20"/>
      <c r="G36" s="20"/>
      <c r="H36" s="56"/>
      <c r="I36" s="23"/>
      <c r="J36" s="14"/>
      <c r="K36" s="24"/>
      <c r="L36" s="10"/>
      <c r="M36" s="44"/>
    </row>
    <row r="37" spans="1:13" x14ac:dyDescent="0.2">
      <c r="A37"/>
      <c r="B37"/>
      <c r="C37" s="40"/>
      <c r="D37" s="41"/>
      <c r="E37" s="42"/>
      <c r="F37" s="20"/>
      <c r="G37" s="20"/>
      <c r="H37" s="56"/>
      <c r="I37" s="10"/>
      <c r="J37" s="10"/>
      <c r="K37" s="10"/>
      <c r="L37" s="10"/>
      <c r="M37" s="44"/>
    </row>
    <row r="38" spans="1:13" x14ac:dyDescent="0.2">
      <c r="A38"/>
      <c r="B38"/>
      <c r="C38" s="40"/>
      <c r="D38" s="41"/>
      <c r="E38" s="7"/>
      <c r="F38" s="20"/>
      <c r="G38" s="20"/>
      <c r="H38" s="56"/>
      <c r="I38" s="10"/>
      <c r="J38" s="10"/>
      <c r="K38" s="10"/>
      <c r="L38" s="10"/>
      <c r="M38" s="44"/>
    </row>
    <row r="39" spans="1:13" x14ac:dyDescent="0.2">
      <c r="A39"/>
      <c r="B39"/>
      <c r="C39" s="40"/>
      <c r="D39" s="41"/>
      <c r="E39" s="42"/>
      <c r="F39" s="20"/>
      <c r="G39" s="20"/>
      <c r="H39" s="55"/>
      <c r="I39" s="10"/>
      <c r="J39" s="10"/>
      <c r="K39" s="10"/>
      <c r="L39" s="10"/>
      <c r="M39" s="54"/>
    </row>
    <row r="40" spans="1:13" x14ac:dyDescent="0.2">
      <c r="A40"/>
      <c r="B40"/>
      <c r="C40" s="40"/>
      <c r="D40" s="41"/>
      <c r="E40" s="7"/>
      <c r="F40" s="20"/>
      <c r="G40" s="20"/>
      <c r="H40" s="56"/>
      <c r="I40" s="23"/>
      <c r="J40" s="14"/>
      <c r="K40" s="24"/>
      <c r="L40" s="10"/>
      <c r="M40" s="44"/>
    </row>
    <row r="41" spans="1:13" x14ac:dyDescent="0.2">
      <c r="A41"/>
      <c r="B41"/>
      <c r="C41" s="40"/>
      <c r="D41" s="41"/>
      <c r="E41" s="42"/>
      <c r="F41" s="20"/>
      <c r="G41" s="20"/>
      <c r="H41" s="56"/>
      <c r="I41" s="10"/>
      <c r="J41" s="10"/>
      <c r="K41" s="10"/>
      <c r="L41" s="10"/>
      <c r="M41" s="44"/>
    </row>
    <row r="42" spans="1:13" x14ac:dyDescent="0.2">
      <c r="A42"/>
      <c r="B42"/>
      <c r="C42" s="40"/>
      <c r="D42" s="41"/>
      <c r="E42" s="7"/>
      <c r="F42" s="20"/>
      <c r="G42" s="20"/>
      <c r="H42" s="56"/>
      <c r="I42" s="10"/>
      <c r="J42" s="10"/>
      <c r="K42" s="10"/>
      <c r="L42" s="10"/>
      <c r="M42" s="44"/>
    </row>
    <row r="43" spans="1:13" x14ac:dyDescent="0.2">
      <c r="A43"/>
      <c r="B43"/>
      <c r="C43" s="40"/>
      <c r="D43" s="41"/>
      <c r="E43" s="42"/>
      <c r="F43" s="20"/>
      <c r="G43" s="20"/>
      <c r="H43" s="55"/>
      <c r="I43" s="10"/>
      <c r="J43" s="10"/>
      <c r="K43" s="10"/>
      <c r="L43" s="10"/>
      <c r="M43" s="54"/>
    </row>
    <row r="44" spans="1:13" x14ac:dyDescent="0.2">
      <c r="A44"/>
      <c r="B44"/>
      <c r="C44" s="40"/>
      <c r="D44" s="41"/>
      <c r="E44" s="7"/>
      <c r="F44" s="20"/>
      <c r="G44" s="20"/>
      <c r="H44" s="56"/>
      <c r="I44" s="23"/>
      <c r="J44" s="14"/>
      <c r="K44" s="24"/>
      <c r="L44" s="10"/>
      <c r="M44" s="44"/>
    </row>
    <row r="45" spans="1:13" x14ac:dyDescent="0.2">
      <c r="A45"/>
      <c r="B45"/>
      <c r="C45" s="40"/>
      <c r="D45" s="41"/>
      <c r="E45" s="42"/>
      <c r="F45" s="20"/>
      <c r="G45" s="20"/>
      <c r="H45" s="56"/>
      <c r="I45" s="10"/>
      <c r="J45" s="10"/>
      <c r="K45" s="10"/>
      <c r="L45" s="10"/>
      <c r="M45" s="44"/>
    </row>
    <row r="46" spans="1:13" x14ac:dyDescent="0.2">
      <c r="A46"/>
      <c r="B46"/>
      <c r="C46" s="40"/>
      <c r="D46" s="41"/>
      <c r="E46" s="7"/>
      <c r="F46" s="20"/>
      <c r="G46" s="20"/>
      <c r="H46" s="56"/>
      <c r="I46" s="10"/>
      <c r="J46" s="10"/>
      <c r="K46" s="10"/>
      <c r="L46" s="10"/>
      <c r="M46" s="44"/>
    </row>
    <row r="47" spans="1:13" x14ac:dyDescent="0.2">
      <c r="A47"/>
      <c r="B47"/>
      <c r="C47" s="40"/>
      <c r="D47" s="41"/>
      <c r="E47" s="42"/>
      <c r="F47" s="20"/>
      <c r="G47" s="20"/>
      <c r="H47" s="55"/>
      <c r="I47" s="10"/>
      <c r="J47" s="10"/>
      <c r="K47" s="10"/>
      <c r="L47" s="10"/>
      <c r="M47" s="89"/>
    </row>
    <row r="48" spans="1:13" x14ac:dyDescent="0.2">
      <c r="A48"/>
      <c r="B48"/>
      <c r="C48" s="40"/>
      <c r="D48" s="41"/>
      <c r="E48" s="7"/>
      <c r="F48" s="20"/>
      <c r="G48" s="20"/>
      <c r="H48" s="56"/>
      <c r="I48" s="23"/>
      <c r="J48" s="14"/>
      <c r="K48" s="24"/>
      <c r="L48" s="10"/>
      <c r="M48" s="44"/>
    </row>
    <row r="49" spans="1:14" x14ac:dyDescent="0.2">
      <c r="A49"/>
      <c r="B49"/>
      <c r="C49" s="40"/>
      <c r="D49" s="41"/>
      <c r="E49" s="42"/>
      <c r="F49" s="20"/>
      <c r="G49" s="20"/>
      <c r="H49" s="56"/>
      <c r="I49" s="10"/>
      <c r="J49" s="10"/>
      <c r="K49" s="10"/>
      <c r="L49" s="10"/>
      <c r="M49" s="44"/>
    </row>
    <row r="50" spans="1:14" x14ac:dyDescent="0.2">
      <c r="A50"/>
      <c r="B50"/>
      <c r="C50" s="40"/>
      <c r="D50" s="41"/>
      <c r="E50" s="7"/>
      <c r="F50" s="20"/>
      <c r="G50" s="20"/>
      <c r="H50" s="56"/>
      <c r="I50" s="10"/>
      <c r="J50" s="10"/>
      <c r="K50" s="10"/>
      <c r="L50" s="10"/>
      <c r="M50" s="44"/>
    </row>
    <row r="51" spans="1:14" x14ac:dyDescent="0.2">
      <c r="A51"/>
      <c r="B51"/>
      <c r="C51" s="40"/>
      <c r="D51" s="41"/>
      <c r="E51" s="42"/>
      <c r="F51" s="20"/>
      <c r="G51" s="20"/>
      <c r="H51" s="56"/>
      <c r="I51" s="10"/>
      <c r="J51" s="10"/>
      <c r="K51" s="10"/>
      <c r="L51" s="10"/>
      <c r="M51" s="54"/>
    </row>
    <row r="52" spans="1:14" x14ac:dyDescent="0.2">
      <c r="A52"/>
      <c r="B52"/>
      <c r="C52" s="40"/>
      <c r="D52" s="41"/>
      <c r="E52" s="7"/>
      <c r="F52" s="20"/>
      <c r="G52" s="20"/>
      <c r="H52" s="56"/>
      <c r="I52" s="23"/>
      <c r="J52" s="14"/>
      <c r="K52" s="24"/>
      <c r="L52" s="10"/>
      <c r="M52" s="44"/>
    </row>
    <row r="53" spans="1:14" x14ac:dyDescent="0.2">
      <c r="A53"/>
      <c r="B53"/>
      <c r="C53" s="40"/>
      <c r="D53" s="41"/>
      <c r="E53" s="42"/>
      <c r="F53" s="20"/>
      <c r="G53" s="20"/>
      <c r="H53" s="56"/>
      <c r="I53" s="10"/>
      <c r="J53" s="10"/>
      <c r="K53" s="10"/>
      <c r="L53" s="10"/>
      <c r="M53" s="44"/>
    </row>
    <row r="54" spans="1:14" x14ac:dyDescent="0.2">
      <c r="A54"/>
      <c r="B54"/>
      <c r="C54" s="40"/>
      <c r="D54" s="41"/>
      <c r="E54" s="7"/>
      <c r="F54" s="20"/>
      <c r="G54" s="20"/>
      <c r="H54" s="56"/>
      <c r="I54" s="10"/>
      <c r="J54" s="10"/>
      <c r="K54" s="10"/>
      <c r="L54" s="10"/>
      <c r="M54" s="102"/>
    </row>
    <row r="55" spans="1:14" s="39" customFormat="1" x14ac:dyDescent="0.2">
      <c r="A55" s="20"/>
      <c r="B55" s="20"/>
      <c r="C55" s="40"/>
      <c r="D55" s="41"/>
      <c r="E55" s="42"/>
      <c r="F55" s="20"/>
      <c r="G55" s="20"/>
      <c r="H55" s="56"/>
      <c r="I55" s="19"/>
      <c r="J55" s="19"/>
      <c r="K55" s="19"/>
      <c r="L55" s="19"/>
      <c r="M55" s="44"/>
      <c r="N55" s="60"/>
    </row>
    <row r="56" spans="1:14" s="39" customFormat="1" x14ac:dyDescent="0.2">
      <c r="A56" s="20"/>
      <c r="B56" s="20"/>
      <c r="C56" s="40"/>
      <c r="D56" s="41"/>
      <c r="E56" s="42"/>
      <c r="F56" s="20"/>
      <c r="G56" s="20"/>
      <c r="H56" s="56"/>
      <c r="I56" s="35"/>
      <c r="J56" s="60"/>
      <c r="K56" s="84"/>
      <c r="L56" s="19"/>
      <c r="M56" s="44"/>
      <c r="N56" s="60"/>
    </row>
    <row r="57" spans="1:14" s="39" customFormat="1" x14ac:dyDescent="0.2">
      <c r="A57" s="20"/>
      <c r="B57" s="20"/>
      <c r="C57" s="40"/>
      <c r="D57" s="41"/>
      <c r="E57" s="42"/>
      <c r="F57" s="20"/>
      <c r="G57" s="20"/>
      <c r="H57" s="56"/>
      <c r="I57" s="19"/>
      <c r="J57" s="19"/>
      <c r="K57" s="19"/>
      <c r="L57" s="19"/>
      <c r="M57" s="44"/>
      <c r="N57" s="60"/>
    </row>
    <row r="58" spans="1:14" s="39" customFormat="1" x14ac:dyDescent="0.2">
      <c r="A58" s="20"/>
      <c r="B58" s="20"/>
      <c r="C58" s="40"/>
      <c r="D58" s="41"/>
      <c r="E58" s="42"/>
      <c r="F58" s="20"/>
      <c r="G58" s="20"/>
      <c r="H58" s="56"/>
      <c r="I58" s="19"/>
      <c r="J58" s="19"/>
      <c r="K58" s="19"/>
      <c r="L58" s="19"/>
      <c r="M58" s="44"/>
      <c r="N58" s="60"/>
    </row>
    <row r="59" spans="1:14" x14ac:dyDescent="0.2">
      <c r="A59" s="20"/>
      <c r="B59" s="20"/>
      <c r="C59" s="40"/>
      <c r="D59" s="41"/>
      <c r="E59" s="42"/>
      <c r="F59" s="20"/>
      <c r="G59" s="20"/>
      <c r="H59" s="56"/>
      <c r="I59" s="19"/>
      <c r="J59" s="19"/>
      <c r="K59" s="19"/>
      <c r="L59" s="19"/>
      <c r="M59" s="44"/>
    </row>
    <row r="60" spans="1:14" x14ac:dyDescent="0.2">
      <c r="A60" s="20"/>
      <c r="B60" s="20"/>
      <c r="C60" s="40"/>
      <c r="D60" s="41"/>
      <c r="E60" s="42"/>
      <c r="F60" s="20"/>
      <c r="G60" s="20"/>
      <c r="H60" s="56"/>
      <c r="I60" s="35"/>
      <c r="J60" s="60"/>
      <c r="K60" s="84"/>
      <c r="L60" s="19"/>
      <c r="M60" s="50"/>
    </row>
    <row r="61" spans="1:14" x14ac:dyDescent="0.2">
      <c r="A61" s="20"/>
      <c r="B61" s="20"/>
      <c r="C61" s="40"/>
      <c r="D61" s="41"/>
      <c r="E61" s="42"/>
      <c r="F61" s="20"/>
      <c r="G61" s="20"/>
      <c r="H61" s="56"/>
      <c r="I61" s="19"/>
      <c r="J61" s="19"/>
      <c r="K61" s="19"/>
      <c r="L61" s="19"/>
      <c r="M61" s="44"/>
    </row>
    <row r="62" spans="1:14" x14ac:dyDescent="0.2">
      <c r="A62" s="20"/>
      <c r="B62" s="20"/>
      <c r="C62" s="40"/>
      <c r="D62" s="41"/>
      <c r="E62" s="42"/>
      <c r="F62" s="20"/>
      <c r="G62" s="20"/>
      <c r="H62" s="56"/>
      <c r="I62" s="19"/>
      <c r="J62" s="19"/>
      <c r="K62" s="19"/>
      <c r="L62" s="19"/>
      <c r="M62" s="44"/>
    </row>
    <row r="63" spans="1:14" x14ac:dyDescent="0.2">
      <c r="A63" s="20"/>
      <c r="B63" s="20"/>
      <c r="C63" s="40"/>
      <c r="D63" s="41"/>
      <c r="E63" s="42"/>
      <c r="F63" s="20"/>
      <c r="G63" s="20"/>
      <c r="H63" s="56"/>
      <c r="I63" s="19"/>
      <c r="J63" s="19"/>
      <c r="K63" s="19"/>
      <c r="L63" s="19"/>
      <c r="M63" s="44"/>
    </row>
    <row r="64" spans="1:14" x14ac:dyDescent="0.2">
      <c r="A64" s="20"/>
      <c r="B64" s="20"/>
      <c r="C64" s="40"/>
      <c r="D64" s="41"/>
      <c r="E64" s="42"/>
      <c r="F64" s="20"/>
      <c r="G64" s="20"/>
      <c r="H64" s="56"/>
      <c r="I64" s="35"/>
      <c r="J64" s="60"/>
      <c r="K64" s="84"/>
      <c r="L64" s="19"/>
      <c r="M64" s="50"/>
    </row>
    <row r="65" spans="1:13" x14ac:dyDescent="0.2">
      <c r="A65" s="20"/>
      <c r="B65" s="20"/>
      <c r="C65" s="40"/>
      <c r="D65" s="41"/>
      <c r="E65" s="42"/>
      <c r="F65" s="20"/>
      <c r="G65" s="20"/>
      <c r="H65" s="56"/>
      <c r="I65" s="19"/>
      <c r="J65" s="19"/>
      <c r="K65" s="19"/>
      <c r="L65" s="19"/>
      <c r="M65" s="44"/>
    </row>
    <row r="66" spans="1:13" x14ac:dyDescent="0.2">
      <c r="A66" s="20"/>
      <c r="B66" s="20"/>
      <c r="C66" s="40"/>
      <c r="D66" s="41"/>
      <c r="E66" s="42"/>
      <c r="F66" s="20"/>
      <c r="G66" s="20"/>
      <c r="H66" s="56"/>
      <c r="I66" s="19"/>
      <c r="J66" s="19"/>
      <c r="K66" s="19"/>
      <c r="L66" s="19"/>
      <c r="M66" s="44"/>
    </row>
    <row r="67" spans="1:13" x14ac:dyDescent="0.2">
      <c r="A67" s="20"/>
      <c r="B67" s="20"/>
      <c r="C67" s="40"/>
      <c r="D67" s="41"/>
      <c r="E67" s="42"/>
      <c r="F67" s="20"/>
      <c r="G67" s="20"/>
      <c r="H67" s="56"/>
      <c r="I67" s="19"/>
      <c r="J67" s="19"/>
      <c r="K67" s="19"/>
      <c r="L67" s="19"/>
      <c r="M67" s="44"/>
    </row>
    <row r="68" spans="1:13" x14ac:dyDescent="0.2">
      <c r="A68" s="20"/>
      <c r="B68" s="20"/>
      <c r="C68" s="40"/>
      <c r="D68" s="41"/>
      <c r="E68" s="42"/>
      <c r="F68" s="20"/>
      <c r="G68" s="20"/>
      <c r="H68" s="56"/>
      <c r="I68" s="35"/>
      <c r="J68" s="60"/>
      <c r="K68" s="84"/>
      <c r="L68" s="19"/>
      <c r="M68" s="50"/>
    </row>
    <row r="69" spans="1:13" x14ac:dyDescent="0.2">
      <c r="A69" s="20"/>
      <c r="B69" s="20"/>
      <c r="C69" s="40"/>
      <c r="D69" s="41"/>
      <c r="E69" s="42"/>
      <c r="F69" s="20"/>
      <c r="G69" s="20"/>
      <c r="H69" s="56"/>
      <c r="I69" s="19"/>
      <c r="J69" s="19"/>
      <c r="K69" s="19"/>
      <c r="L69" s="19"/>
      <c r="M69" s="44"/>
    </row>
    <row r="70" spans="1:13" x14ac:dyDescent="0.2">
      <c r="A70" s="20"/>
      <c r="B70" s="20"/>
      <c r="C70" s="40"/>
      <c r="D70" s="41"/>
      <c r="E70" s="42"/>
      <c r="F70" s="20"/>
      <c r="G70" s="20"/>
      <c r="H70" s="56"/>
      <c r="I70" s="19"/>
      <c r="J70" s="19"/>
      <c r="K70" s="19"/>
      <c r="L70" s="19"/>
      <c r="M70" s="103"/>
    </row>
    <row r="71" spans="1:13" x14ac:dyDescent="0.2">
      <c r="A71" s="20"/>
      <c r="B71" s="20"/>
      <c r="C71" s="40"/>
      <c r="D71" s="41"/>
      <c r="E71" s="42"/>
      <c r="F71" s="20"/>
      <c r="G71" s="20"/>
      <c r="H71" s="56"/>
      <c r="I71" s="19"/>
      <c r="J71" s="19"/>
      <c r="K71" s="19"/>
      <c r="L71" s="19"/>
      <c r="M71" s="44"/>
    </row>
    <row r="72" spans="1:13" x14ac:dyDescent="0.2">
      <c r="A72" s="20"/>
      <c r="B72" s="20"/>
      <c r="C72" s="40"/>
      <c r="D72" s="41"/>
      <c r="E72" s="42"/>
      <c r="F72" s="20"/>
      <c r="G72" s="20"/>
      <c r="H72" s="56"/>
      <c r="I72" s="35"/>
      <c r="J72" s="60"/>
      <c r="K72" s="84"/>
      <c r="L72" s="19"/>
      <c r="M72" s="50"/>
    </row>
    <row r="73" spans="1:13" x14ac:dyDescent="0.2">
      <c r="A73" s="20"/>
      <c r="B73" s="20"/>
      <c r="C73" s="40"/>
      <c r="D73" s="41"/>
      <c r="E73" s="42"/>
      <c r="F73" s="20"/>
      <c r="G73" s="20"/>
      <c r="H73" s="56"/>
      <c r="I73" s="19"/>
      <c r="J73" s="19"/>
      <c r="K73" s="19"/>
      <c r="L73" s="19"/>
      <c r="M73" s="44"/>
    </row>
    <row r="74" spans="1:13" x14ac:dyDescent="0.2">
      <c r="A74" s="20"/>
      <c r="B74" s="20"/>
      <c r="C74" s="40"/>
      <c r="D74" s="41"/>
      <c r="E74" s="42"/>
      <c r="F74" s="20"/>
      <c r="G74" s="20"/>
      <c r="H74" s="56"/>
      <c r="I74" s="19"/>
      <c r="J74" s="19"/>
      <c r="K74" s="19"/>
      <c r="L74" s="19"/>
      <c r="M74" s="103"/>
    </row>
    <row r="75" spans="1:13" x14ac:dyDescent="0.2">
      <c r="A75"/>
      <c r="B75"/>
      <c r="C75" s="5"/>
      <c r="D75"/>
      <c r="E75" s="7"/>
      <c r="F75"/>
      <c r="G75"/>
      <c r="H75" s="56"/>
      <c r="I75" s="10"/>
      <c r="J75" s="10"/>
      <c r="K75" s="10"/>
      <c r="L75" s="10"/>
      <c r="M75" s="51"/>
    </row>
    <row r="76" spans="1:13" x14ac:dyDescent="0.2">
      <c r="A76"/>
      <c r="B76"/>
      <c r="C76" s="5"/>
      <c r="D76"/>
      <c r="E76" s="7"/>
      <c r="F76"/>
      <c r="G76"/>
      <c r="H76" s="56"/>
      <c r="I76" s="35"/>
      <c r="J76" s="60"/>
      <c r="K76" s="84"/>
      <c r="L76" s="10"/>
      <c r="M76" s="51"/>
    </row>
    <row r="77" spans="1:13" x14ac:dyDescent="0.2">
      <c r="A77"/>
      <c r="B77"/>
      <c r="C77" s="5"/>
      <c r="D77"/>
      <c r="E77" s="7"/>
      <c r="F77"/>
      <c r="G77"/>
      <c r="H77" s="10"/>
      <c r="I77" s="10"/>
      <c r="J77" s="10"/>
      <c r="K77" s="10"/>
      <c r="L77" s="10"/>
      <c r="M77" s="51"/>
    </row>
    <row r="78" spans="1:13" x14ac:dyDescent="0.2">
      <c r="A78"/>
      <c r="B78"/>
      <c r="C78" s="5"/>
      <c r="D78"/>
      <c r="E78" s="7"/>
      <c r="F78"/>
      <c r="G78"/>
      <c r="H78" s="10"/>
      <c r="I78" s="10"/>
      <c r="J78" s="10"/>
      <c r="K78" s="10"/>
      <c r="L78" s="10"/>
      <c r="M78" s="51"/>
    </row>
    <row r="79" spans="1:13" ht="12.75" customHeight="1" x14ac:dyDescent="0.2">
      <c r="A79"/>
      <c r="B79"/>
      <c r="C79" s="5"/>
      <c r="D79"/>
      <c r="E79" s="7"/>
      <c r="F79"/>
      <c r="G79"/>
      <c r="H79" s="56"/>
      <c r="I79" s="10"/>
      <c r="J79" s="10"/>
      <c r="K79" s="10"/>
      <c r="L79" s="10"/>
      <c r="M79" s="51"/>
    </row>
    <row r="80" spans="1:13" ht="12.75" customHeight="1" x14ac:dyDescent="0.2">
      <c r="A80"/>
      <c r="B80"/>
      <c r="C80" s="5"/>
      <c r="D80"/>
      <c r="E80" s="7"/>
      <c r="F80"/>
      <c r="G80"/>
      <c r="H80" s="56"/>
      <c r="I80" s="35"/>
      <c r="J80" s="60"/>
      <c r="K80" s="84"/>
      <c r="L80" s="10"/>
      <c r="M80" s="51"/>
    </row>
    <row r="81" spans="1:13" x14ac:dyDescent="0.2">
      <c r="A81"/>
      <c r="B81"/>
      <c r="C81" s="5"/>
      <c r="D81"/>
      <c r="E81" s="7"/>
      <c r="F81"/>
      <c r="G81"/>
      <c r="H81" s="10"/>
      <c r="I81" s="10"/>
      <c r="J81" s="10"/>
      <c r="K81" s="10"/>
      <c r="L81" s="10"/>
      <c r="M81" s="51"/>
    </row>
    <row r="82" spans="1:13" x14ac:dyDescent="0.2">
      <c r="A82"/>
      <c r="B82"/>
      <c r="C82" s="5"/>
      <c r="D82"/>
      <c r="E82" s="7"/>
      <c r="F82"/>
      <c r="G82"/>
      <c r="H82" s="10"/>
      <c r="I82" s="10"/>
      <c r="J82" s="10"/>
      <c r="K82" s="10"/>
      <c r="L82" s="10"/>
      <c r="M82" s="103"/>
    </row>
    <row r="83" spans="1:13" x14ac:dyDescent="0.2">
      <c r="A83"/>
      <c r="B83"/>
      <c r="C83" s="5"/>
      <c r="D83"/>
      <c r="E83" s="7"/>
      <c r="F83"/>
      <c r="G83"/>
      <c r="H83" s="56"/>
      <c r="I83" s="10"/>
      <c r="J83" s="10"/>
      <c r="K83" s="10"/>
      <c r="L83" s="10"/>
      <c r="M83" s="51"/>
    </row>
    <row r="84" spans="1:13" x14ac:dyDescent="0.2">
      <c r="A84"/>
      <c r="B84"/>
      <c r="C84" s="5"/>
      <c r="D84"/>
      <c r="E84" s="7"/>
      <c r="F84"/>
      <c r="G84"/>
      <c r="H84" s="56"/>
      <c r="I84" s="35"/>
      <c r="J84" s="60"/>
      <c r="K84" s="84"/>
      <c r="L84" s="10"/>
      <c r="M84" s="51"/>
    </row>
    <row r="85" spans="1:13" x14ac:dyDescent="0.2">
      <c r="A85"/>
      <c r="B85"/>
      <c r="C85" s="5"/>
      <c r="D85"/>
      <c r="E85" s="7"/>
      <c r="F85"/>
      <c r="G85"/>
      <c r="H85" s="101"/>
      <c r="I85" s="10"/>
      <c r="J85" s="10"/>
      <c r="K85" s="10"/>
      <c r="L85" s="10"/>
      <c r="M85" s="51"/>
    </row>
    <row r="86" spans="1:13" x14ac:dyDescent="0.2">
      <c r="A86"/>
      <c r="B86"/>
      <c r="C86" s="5"/>
      <c r="D86"/>
      <c r="E86" s="7"/>
      <c r="F86"/>
      <c r="G86"/>
      <c r="H86" s="57"/>
      <c r="I86" s="10"/>
      <c r="J86" s="10"/>
      <c r="K86" s="10"/>
      <c r="L86" s="10"/>
      <c r="M86" s="103"/>
    </row>
    <row r="87" spans="1:13" x14ac:dyDescent="0.2">
      <c r="A87"/>
      <c r="B87"/>
      <c r="C87" s="5"/>
      <c r="D87"/>
      <c r="E87" s="7"/>
      <c r="F87"/>
      <c r="G87"/>
      <c r="H87" s="62"/>
      <c r="I87" s="10"/>
      <c r="J87" s="10"/>
      <c r="K87" s="10"/>
      <c r="L87" s="10"/>
      <c r="M87" s="51"/>
    </row>
    <row r="88" spans="1:13" x14ac:dyDescent="0.2">
      <c r="A88"/>
      <c r="B88"/>
      <c r="C88" s="5"/>
      <c r="D88"/>
      <c r="E88" s="7"/>
      <c r="F88"/>
      <c r="G88"/>
      <c r="H88" s="62"/>
      <c r="I88" s="35"/>
      <c r="J88" s="60"/>
      <c r="K88" s="84"/>
      <c r="L88" s="10"/>
      <c r="M88" s="51"/>
    </row>
    <row r="89" spans="1:13" x14ac:dyDescent="0.2">
      <c r="A89"/>
      <c r="B89"/>
      <c r="C89" s="5"/>
      <c r="D89"/>
      <c r="E89" s="7"/>
      <c r="F89"/>
      <c r="G89"/>
      <c r="H89" s="101"/>
      <c r="I89" s="10"/>
      <c r="J89" s="10"/>
      <c r="K89" s="10"/>
      <c r="L89" s="10"/>
      <c r="M89" s="51"/>
    </row>
    <row r="90" spans="1:13" x14ac:dyDescent="0.2">
      <c r="A90"/>
      <c r="B90"/>
      <c r="C90" s="5"/>
      <c r="D90"/>
      <c r="E90" s="7"/>
      <c r="F90"/>
      <c r="G90"/>
      <c r="H90" s="57"/>
      <c r="I90" s="10"/>
      <c r="J90" s="10"/>
      <c r="K90" s="10"/>
      <c r="L90" s="10"/>
      <c r="M90" s="103"/>
    </row>
    <row r="91" spans="1:13" x14ac:dyDescent="0.2">
      <c r="A91"/>
      <c r="B91"/>
      <c r="C91" s="5"/>
      <c r="D91"/>
      <c r="E91" s="7"/>
      <c r="F91"/>
      <c r="G91"/>
      <c r="H91" s="62"/>
      <c r="I91" s="10"/>
      <c r="J91" s="10"/>
      <c r="K91" s="10"/>
      <c r="L91" s="10"/>
      <c r="M91" s="51"/>
    </row>
    <row r="92" spans="1:13" x14ac:dyDescent="0.2">
      <c r="A92"/>
      <c r="B92"/>
      <c r="C92" s="5"/>
      <c r="D92"/>
      <c r="E92" s="7"/>
      <c r="F92"/>
      <c r="G92"/>
      <c r="H92" s="62"/>
      <c r="I92" s="35"/>
      <c r="J92" s="60"/>
      <c r="K92" s="84"/>
      <c r="L92" s="10"/>
      <c r="M92" s="51"/>
    </row>
    <row r="93" spans="1:13" x14ac:dyDescent="0.2">
      <c r="A93"/>
      <c r="B93"/>
      <c r="C93" s="5"/>
      <c r="D93"/>
      <c r="E93" s="7"/>
      <c r="F93"/>
      <c r="G93"/>
      <c r="H93" s="101"/>
      <c r="I93" s="10"/>
      <c r="J93" s="10"/>
      <c r="K93" s="10"/>
      <c r="L93" s="10"/>
      <c r="M93" s="51"/>
    </row>
    <row r="94" spans="1:13" x14ac:dyDescent="0.2">
      <c r="A94"/>
      <c r="B94"/>
      <c r="C94" s="5"/>
      <c r="D94"/>
      <c r="E94" s="7"/>
      <c r="F94"/>
      <c r="G94"/>
      <c r="H94" s="57"/>
      <c r="I94" s="10"/>
      <c r="J94" s="10"/>
      <c r="K94" s="10"/>
      <c r="L94" s="10"/>
      <c r="M94" s="103"/>
    </row>
    <row r="95" spans="1:13" x14ac:dyDescent="0.2">
      <c r="A95"/>
      <c r="B95"/>
      <c r="C95"/>
      <c r="D95"/>
      <c r="E95" s="7"/>
      <c r="F95"/>
      <c r="G95"/>
      <c r="H95" s="10"/>
      <c r="I95" s="10"/>
      <c r="J95" s="10"/>
      <c r="K95" s="10"/>
      <c r="L95" s="10"/>
      <c r="M95" s="51"/>
    </row>
    <row r="96" spans="1:13" x14ac:dyDescent="0.2">
      <c r="A96"/>
      <c r="B96"/>
      <c r="C96"/>
      <c r="D96"/>
      <c r="E96" s="7"/>
      <c r="F96"/>
      <c r="G96"/>
      <c r="H96" s="10"/>
      <c r="I96" s="10"/>
      <c r="J96" s="10"/>
      <c r="K96" s="10"/>
      <c r="L96" s="10"/>
      <c r="M96" s="51"/>
    </row>
    <row r="97" spans="1:13" x14ac:dyDescent="0.2">
      <c r="A97"/>
      <c r="B97"/>
      <c r="C97"/>
      <c r="D97"/>
      <c r="E97" s="7"/>
      <c r="F97"/>
      <c r="G97"/>
      <c r="H97" s="10"/>
      <c r="I97" s="10"/>
      <c r="J97" s="10"/>
      <c r="K97" s="10"/>
      <c r="L97" s="10"/>
      <c r="M97" s="51"/>
    </row>
    <row r="98" spans="1:13" x14ac:dyDescent="0.2">
      <c r="A98"/>
      <c r="B98"/>
      <c r="C98"/>
      <c r="D98"/>
      <c r="E98" s="7"/>
      <c r="F98"/>
      <c r="G98"/>
      <c r="H98" s="10"/>
      <c r="I98" s="10"/>
      <c r="J98" s="10"/>
      <c r="K98" s="10"/>
      <c r="L98" s="10"/>
      <c r="M98" s="51"/>
    </row>
    <row r="99" spans="1:13" x14ac:dyDescent="0.2">
      <c r="A99"/>
      <c r="B99"/>
      <c r="C99"/>
      <c r="D99"/>
      <c r="E99" s="7"/>
      <c r="F99"/>
      <c r="G99"/>
      <c r="H99" s="10"/>
      <c r="I99" s="10"/>
      <c r="J99" s="10"/>
      <c r="K99" s="10"/>
      <c r="L99" s="10"/>
      <c r="M99" s="51"/>
    </row>
    <row r="100" spans="1:13" x14ac:dyDescent="0.2">
      <c r="A100"/>
      <c r="B100"/>
      <c r="C100"/>
      <c r="D100"/>
      <c r="E100" s="7"/>
      <c r="F100"/>
      <c r="G100"/>
      <c r="H100" s="10"/>
      <c r="I100" s="10"/>
      <c r="J100" s="10"/>
      <c r="K100" s="10"/>
      <c r="L100" s="10"/>
      <c r="M100" s="51"/>
    </row>
    <row r="101" spans="1:13" x14ac:dyDescent="0.2">
      <c r="A101"/>
      <c r="B101"/>
      <c r="C101"/>
      <c r="D101"/>
      <c r="E101" s="7"/>
      <c r="F101"/>
      <c r="G101"/>
      <c r="H101" s="10"/>
      <c r="I101" s="10"/>
      <c r="J101" s="10"/>
      <c r="K101" s="10"/>
      <c r="L101" s="10"/>
      <c r="M101" s="51"/>
    </row>
    <row r="102" spans="1:13" x14ac:dyDescent="0.2">
      <c r="A102"/>
      <c r="B102"/>
      <c r="C102"/>
      <c r="D102"/>
      <c r="E102" s="7"/>
      <c r="F102"/>
      <c r="G102"/>
      <c r="H102" s="10"/>
      <c r="I102" s="10"/>
      <c r="J102" s="10"/>
      <c r="K102" s="10"/>
      <c r="L102" s="10"/>
      <c r="M102" s="51"/>
    </row>
    <row r="103" spans="1:13" x14ac:dyDescent="0.2">
      <c r="A103"/>
      <c r="B103"/>
      <c r="C103"/>
      <c r="D103"/>
      <c r="E103" s="7"/>
      <c r="F103"/>
      <c r="G103"/>
      <c r="H103" s="10"/>
      <c r="I103" s="10"/>
      <c r="J103" s="10"/>
      <c r="K103" s="10"/>
      <c r="L103" s="10"/>
      <c r="M103" s="51"/>
    </row>
    <row r="104" spans="1:13" x14ac:dyDescent="0.2">
      <c r="A104"/>
      <c r="B104"/>
      <c r="C104"/>
      <c r="D104"/>
      <c r="E104" s="7"/>
      <c r="F104"/>
      <c r="G104"/>
      <c r="H104" s="10"/>
      <c r="I104" s="10"/>
      <c r="J104" s="10"/>
      <c r="K104" s="10"/>
      <c r="L104" s="10"/>
      <c r="M104" s="51"/>
    </row>
    <row r="105" spans="1:13" x14ac:dyDescent="0.2">
      <c r="A105"/>
      <c r="B105"/>
      <c r="C105"/>
      <c r="D105"/>
      <c r="E105" s="7"/>
      <c r="F105"/>
      <c r="G105"/>
      <c r="H105" s="10"/>
      <c r="I105" s="10"/>
      <c r="J105" s="10"/>
      <c r="K105" s="10"/>
      <c r="L105" s="10"/>
      <c r="M105" s="51"/>
    </row>
    <row r="106" spans="1:13" x14ac:dyDescent="0.2">
      <c r="A106"/>
      <c r="B106"/>
      <c r="C106"/>
      <c r="D106"/>
      <c r="E106" s="7"/>
      <c r="F106"/>
      <c r="G106"/>
      <c r="H106" s="10"/>
      <c r="I106" s="10"/>
      <c r="J106" s="10"/>
      <c r="K106" s="10"/>
      <c r="L106" s="10"/>
      <c r="M106" s="51"/>
    </row>
    <row r="107" spans="1:13" x14ac:dyDescent="0.2">
      <c r="A107"/>
      <c r="B107"/>
      <c r="C107"/>
      <c r="D107"/>
      <c r="E107" s="7"/>
      <c r="F107"/>
      <c r="G107"/>
      <c r="H107" s="10"/>
      <c r="I107" s="10"/>
      <c r="J107" s="10"/>
      <c r="K107" s="10"/>
      <c r="L107" s="10"/>
      <c r="M107" s="51"/>
    </row>
    <row r="108" spans="1:13" x14ac:dyDescent="0.2">
      <c r="A108"/>
      <c r="B108"/>
      <c r="C108"/>
      <c r="D108"/>
      <c r="E108" s="7"/>
      <c r="F108"/>
      <c r="G108"/>
      <c r="H108" s="10"/>
      <c r="I108" s="10"/>
      <c r="J108" s="10"/>
      <c r="K108" s="10"/>
      <c r="L108" s="10"/>
      <c r="M108" s="51"/>
    </row>
    <row r="109" spans="1:13" x14ac:dyDescent="0.2">
      <c r="A109"/>
      <c r="B109"/>
      <c r="C109"/>
      <c r="D109"/>
      <c r="E109" s="7"/>
      <c r="F109"/>
      <c r="G109"/>
      <c r="H109" s="10"/>
      <c r="I109" s="10"/>
      <c r="J109" s="10"/>
      <c r="K109" s="10"/>
      <c r="L109" s="10"/>
      <c r="M109" s="51"/>
    </row>
    <row r="110" spans="1:13" x14ac:dyDescent="0.2">
      <c r="A110"/>
      <c r="B110"/>
      <c r="C110"/>
      <c r="D110"/>
      <c r="E110" s="7"/>
      <c r="F110"/>
      <c r="G110"/>
      <c r="H110" s="10"/>
      <c r="I110" s="10"/>
      <c r="J110" s="10"/>
      <c r="K110" s="10"/>
      <c r="L110" s="10"/>
      <c r="M110" s="51"/>
    </row>
    <row r="111" spans="1:13" x14ac:dyDescent="0.2">
      <c r="A111"/>
      <c r="B111"/>
      <c r="C111"/>
      <c r="D111"/>
      <c r="E111" s="7"/>
      <c r="F111"/>
      <c r="G111"/>
      <c r="H111" s="10"/>
      <c r="I111" s="10"/>
      <c r="J111" s="10"/>
      <c r="K111" s="10"/>
      <c r="L111" s="10"/>
      <c r="M111" s="51"/>
    </row>
    <row r="112" spans="1:13" x14ac:dyDescent="0.2">
      <c r="A112"/>
      <c r="B112"/>
      <c r="C112"/>
      <c r="D112"/>
      <c r="E112" s="7"/>
      <c r="F112"/>
      <c r="G112"/>
      <c r="H112" s="10"/>
      <c r="I112" s="10"/>
      <c r="J112" s="10"/>
      <c r="K112" s="10"/>
      <c r="L112" s="10"/>
      <c r="M112" s="51"/>
    </row>
    <row r="113" spans="1:13" x14ac:dyDescent="0.2">
      <c r="A113"/>
      <c r="B113"/>
      <c r="C113"/>
      <c r="D113"/>
      <c r="E113" s="7"/>
      <c r="F113"/>
      <c r="G113"/>
      <c r="H113" s="10"/>
      <c r="I113" s="10"/>
      <c r="J113" s="10"/>
      <c r="K113" s="10"/>
      <c r="L113" s="10"/>
      <c r="M113" s="51"/>
    </row>
    <row r="114" spans="1:13" x14ac:dyDescent="0.2">
      <c r="A114"/>
      <c r="B114"/>
      <c r="C114"/>
      <c r="D114"/>
      <c r="E114" s="7"/>
      <c r="F114"/>
      <c r="G114"/>
      <c r="H114" s="10"/>
      <c r="I114" s="10"/>
      <c r="J114" s="10"/>
      <c r="K114" s="10"/>
      <c r="L114" s="10"/>
      <c r="M114" s="51"/>
    </row>
    <row r="115" spans="1:13" x14ac:dyDescent="0.2">
      <c r="A115"/>
      <c r="B115"/>
      <c r="C115"/>
      <c r="D115"/>
      <c r="E115" s="7"/>
      <c r="F115"/>
      <c r="G115"/>
      <c r="H115" s="10"/>
      <c r="I115" s="10"/>
      <c r="J115" s="10"/>
      <c r="K115" s="10"/>
      <c r="L115" s="10"/>
      <c r="M115" s="51"/>
    </row>
    <row r="116" spans="1:13" x14ac:dyDescent="0.2">
      <c r="A116"/>
      <c r="B116"/>
      <c r="C116"/>
      <c r="D116"/>
      <c r="E116" s="7"/>
      <c r="F116"/>
      <c r="G116"/>
      <c r="H116" s="10"/>
      <c r="I116" s="10"/>
      <c r="J116" s="10"/>
      <c r="K116" s="10"/>
      <c r="L116" s="10"/>
      <c r="M116" s="51"/>
    </row>
    <row r="117" spans="1:13" x14ac:dyDescent="0.2">
      <c r="A117"/>
      <c r="B117"/>
      <c r="C117"/>
      <c r="D117"/>
      <c r="E117" s="7"/>
      <c r="F117"/>
      <c r="G117"/>
      <c r="H117" s="10"/>
      <c r="I117" s="10"/>
      <c r="J117" s="10"/>
      <c r="K117" s="10"/>
      <c r="L117" s="10"/>
      <c r="M117" s="51"/>
    </row>
    <row r="118" spans="1:13" x14ac:dyDescent="0.2">
      <c r="A118"/>
      <c r="B118"/>
      <c r="C118"/>
      <c r="D118"/>
      <c r="E118" s="7"/>
      <c r="F118"/>
      <c r="G118"/>
      <c r="H118" s="10"/>
      <c r="I118" s="10"/>
      <c r="J118" s="10"/>
      <c r="K118" s="10"/>
      <c r="L118" s="10"/>
      <c r="M118" s="51"/>
    </row>
    <row r="119" spans="1:13" x14ac:dyDescent="0.2">
      <c r="A119"/>
      <c r="B119"/>
      <c r="C119"/>
      <c r="D119"/>
      <c r="E119" s="7"/>
      <c r="F119"/>
      <c r="G119"/>
      <c r="H119" s="10"/>
      <c r="I119" s="10"/>
      <c r="J119" s="10"/>
      <c r="K119" s="10"/>
      <c r="L119" s="10"/>
      <c r="M119" s="51"/>
    </row>
    <row r="120" spans="1:13" x14ac:dyDescent="0.2">
      <c r="A120"/>
      <c r="B120"/>
      <c r="C120"/>
      <c r="D120"/>
      <c r="E120" s="7"/>
      <c r="F120"/>
      <c r="G120"/>
      <c r="H120" s="10"/>
      <c r="I120" s="10"/>
      <c r="J120" s="10"/>
      <c r="K120" s="10"/>
      <c r="L120" s="10"/>
      <c r="M120" s="51"/>
    </row>
    <row r="121" spans="1:13" x14ac:dyDescent="0.2">
      <c r="A121"/>
      <c r="B121"/>
      <c r="C121"/>
      <c r="D121"/>
      <c r="E121" s="7"/>
      <c r="F121"/>
      <c r="G121"/>
      <c r="H121" s="10"/>
      <c r="I121" s="10"/>
      <c r="J121" s="10"/>
      <c r="K121" s="10"/>
      <c r="L121" s="10"/>
      <c r="M121" s="51"/>
    </row>
    <row r="122" spans="1:13" x14ac:dyDescent="0.2">
      <c r="A122"/>
      <c r="B122"/>
      <c r="C122"/>
      <c r="D122"/>
      <c r="E122" s="7"/>
      <c r="F122"/>
      <c r="G122"/>
      <c r="H122" s="10"/>
      <c r="I122" s="10"/>
      <c r="J122" s="10"/>
      <c r="K122" s="10"/>
      <c r="L122" s="10"/>
      <c r="M122" s="51"/>
    </row>
    <row r="123" spans="1:13" x14ac:dyDescent="0.2">
      <c r="A123"/>
      <c r="B123"/>
      <c r="C123"/>
      <c r="D123"/>
      <c r="E123" s="7"/>
      <c r="F123"/>
      <c r="G123"/>
      <c r="H123" s="10"/>
      <c r="I123" s="10"/>
      <c r="J123" s="10"/>
      <c r="K123" s="10"/>
      <c r="L123" s="10"/>
      <c r="M123" s="51"/>
    </row>
    <row r="124" spans="1:13" x14ac:dyDescent="0.2">
      <c r="A124"/>
      <c r="B124"/>
      <c r="C124"/>
      <c r="D124"/>
      <c r="E124" s="7"/>
      <c r="F124"/>
      <c r="G124"/>
      <c r="H124" s="10"/>
      <c r="I124" s="10"/>
      <c r="J124" s="10"/>
      <c r="K124" s="10"/>
      <c r="L124" s="10"/>
      <c r="M124" s="51"/>
    </row>
    <row r="125" spans="1:13" x14ac:dyDescent="0.2">
      <c r="A125"/>
      <c r="B125"/>
      <c r="C125"/>
      <c r="D125"/>
      <c r="E125" s="7"/>
      <c r="F125"/>
      <c r="G125"/>
      <c r="H125" s="10"/>
      <c r="I125" s="10"/>
      <c r="J125" s="10"/>
      <c r="K125" s="10"/>
      <c r="L125" s="10"/>
      <c r="M125" s="51"/>
    </row>
    <row r="126" spans="1:13" x14ac:dyDescent="0.2">
      <c r="A126"/>
      <c r="B126"/>
      <c r="C126"/>
      <c r="D126"/>
      <c r="E126" s="7"/>
      <c r="F126"/>
      <c r="G126"/>
      <c r="H126" s="10"/>
      <c r="I126" s="10"/>
      <c r="J126" s="10"/>
      <c r="K126" s="10"/>
      <c r="L126" s="10"/>
      <c r="M126" s="51"/>
    </row>
    <row r="127" spans="1:13" x14ac:dyDescent="0.2">
      <c r="A127"/>
      <c r="B127"/>
      <c r="C127"/>
      <c r="D127"/>
      <c r="E127" s="7"/>
      <c r="F127"/>
      <c r="G127"/>
      <c r="H127" s="10"/>
      <c r="I127" s="10"/>
      <c r="J127" s="10"/>
      <c r="K127" s="10"/>
      <c r="L127" s="10"/>
      <c r="M127" s="51"/>
    </row>
    <row r="128" spans="1:13" x14ac:dyDescent="0.2">
      <c r="A128"/>
      <c r="B128"/>
      <c r="C128"/>
      <c r="D128"/>
      <c r="E128" s="7"/>
      <c r="F128"/>
      <c r="G128"/>
      <c r="H128" s="10"/>
      <c r="I128" s="10"/>
      <c r="J128" s="10"/>
      <c r="K128" s="10"/>
      <c r="L128" s="10"/>
      <c r="M128" s="51"/>
    </row>
    <row r="129" spans="1:13" x14ac:dyDescent="0.2">
      <c r="A129"/>
      <c r="B129"/>
      <c r="C129"/>
      <c r="D129"/>
      <c r="E129" s="7"/>
      <c r="F129"/>
      <c r="G129"/>
      <c r="H129" s="10"/>
      <c r="I129" s="10"/>
      <c r="J129" s="10"/>
      <c r="K129" s="10"/>
      <c r="L129" s="10"/>
      <c r="M129" s="51"/>
    </row>
    <row r="130" spans="1:13" x14ac:dyDescent="0.2">
      <c r="A130"/>
      <c r="B130"/>
      <c r="C130"/>
      <c r="D130"/>
      <c r="E130" s="7"/>
      <c r="F130"/>
      <c r="G130"/>
      <c r="H130" s="10"/>
      <c r="I130" s="10"/>
      <c r="J130" s="10"/>
      <c r="K130" s="10"/>
      <c r="L130" s="10"/>
      <c r="M130" s="51"/>
    </row>
    <row r="131" spans="1:13" x14ac:dyDescent="0.2">
      <c r="A131"/>
      <c r="B131"/>
      <c r="C131"/>
      <c r="D131"/>
      <c r="E131" s="7"/>
      <c r="F131"/>
      <c r="G131"/>
      <c r="H131" s="10"/>
      <c r="I131" s="10"/>
      <c r="J131" s="10"/>
      <c r="K131" s="10"/>
      <c r="L131" s="10"/>
      <c r="M131" s="51"/>
    </row>
    <row r="132" spans="1:13" x14ac:dyDescent="0.2">
      <c r="A132"/>
      <c r="B132"/>
      <c r="C132"/>
      <c r="D132"/>
      <c r="E132" s="7"/>
      <c r="F132"/>
      <c r="G132"/>
      <c r="H132" s="10"/>
      <c r="I132" s="10"/>
      <c r="J132" s="10"/>
      <c r="K132" s="10"/>
      <c r="L132" s="10"/>
      <c r="M132" s="51"/>
    </row>
    <row r="133" spans="1:13" x14ac:dyDescent="0.2">
      <c r="A133"/>
      <c r="B133"/>
      <c r="C133"/>
      <c r="D133"/>
      <c r="E133" s="7"/>
      <c r="F133"/>
      <c r="G133"/>
      <c r="H133" s="10"/>
      <c r="I133" s="10"/>
      <c r="J133" s="10"/>
      <c r="K133" s="10"/>
      <c r="L133" s="10"/>
      <c r="M133" s="51"/>
    </row>
    <row r="134" spans="1:13" x14ac:dyDescent="0.2">
      <c r="A134"/>
      <c r="B134"/>
      <c r="C134"/>
      <c r="D134"/>
      <c r="E134" s="7"/>
      <c r="F134"/>
      <c r="G134"/>
      <c r="H134" s="10"/>
      <c r="I134" s="10"/>
      <c r="J134" s="10"/>
      <c r="K134" s="10"/>
      <c r="L134" s="10"/>
      <c r="M134" s="51"/>
    </row>
    <row r="135" spans="1:13" x14ac:dyDescent="0.2">
      <c r="A135"/>
      <c r="B135"/>
      <c r="C135"/>
      <c r="D135"/>
      <c r="E135" s="7"/>
      <c r="F135"/>
      <c r="G135"/>
      <c r="H135" s="10"/>
      <c r="I135" s="10"/>
      <c r="J135" s="10"/>
      <c r="K135" s="10"/>
      <c r="L135" s="10"/>
      <c r="M135" s="51"/>
    </row>
    <row r="136" spans="1:13" x14ac:dyDescent="0.2">
      <c r="A136"/>
      <c r="B136"/>
      <c r="C136"/>
      <c r="D136"/>
      <c r="E136" s="7"/>
      <c r="F136"/>
      <c r="G136"/>
      <c r="H136" s="10"/>
      <c r="I136" s="10"/>
      <c r="J136" s="10"/>
      <c r="K136" s="10"/>
      <c r="L136" s="10"/>
      <c r="M136" s="51"/>
    </row>
    <row r="137" spans="1:13" x14ac:dyDescent="0.2">
      <c r="A137"/>
      <c r="B137"/>
      <c r="C137"/>
      <c r="D137"/>
      <c r="E137" s="7"/>
      <c r="F137"/>
      <c r="G137"/>
      <c r="H137" s="10"/>
      <c r="I137" s="10"/>
      <c r="J137" s="10"/>
      <c r="K137" s="10"/>
      <c r="L137" s="10"/>
      <c r="M137" s="51"/>
    </row>
    <row r="138" spans="1:13" x14ac:dyDescent="0.2">
      <c r="A138"/>
      <c r="B138"/>
      <c r="C138"/>
      <c r="D138"/>
      <c r="E138" s="7"/>
      <c r="F138"/>
      <c r="G138"/>
      <c r="H138" s="10"/>
      <c r="I138" s="10"/>
      <c r="J138" s="10"/>
      <c r="K138" s="10"/>
      <c r="L138" s="10"/>
      <c r="M138" s="51"/>
    </row>
    <row r="139" spans="1:13" x14ac:dyDescent="0.2">
      <c r="A139"/>
      <c r="B139"/>
      <c r="C139"/>
      <c r="D139"/>
      <c r="E139" s="7"/>
      <c r="F139"/>
      <c r="G139"/>
      <c r="H139" s="10"/>
      <c r="I139" s="10"/>
      <c r="J139" s="10"/>
      <c r="K139" s="10"/>
      <c r="L139" s="10"/>
      <c r="M139" s="51"/>
    </row>
    <row r="140" spans="1:13" x14ac:dyDescent="0.2">
      <c r="A140"/>
      <c r="B140"/>
      <c r="C140"/>
      <c r="D140"/>
      <c r="E140" s="7"/>
      <c r="F140"/>
      <c r="G140"/>
      <c r="H140" s="10"/>
      <c r="I140" s="10"/>
      <c r="J140" s="10"/>
      <c r="K140" s="10"/>
      <c r="L140" s="10"/>
      <c r="M140" s="51"/>
    </row>
    <row r="141" spans="1:13" x14ac:dyDescent="0.2">
      <c r="A141"/>
      <c r="B141"/>
      <c r="C141"/>
      <c r="D141"/>
      <c r="E141" s="7"/>
      <c r="F141"/>
      <c r="G141"/>
      <c r="H141" s="10"/>
      <c r="I141" s="10"/>
      <c r="J141" s="10"/>
      <c r="K141" s="10"/>
      <c r="L141" s="10"/>
      <c r="M141" s="51"/>
    </row>
    <row r="142" spans="1:13" x14ac:dyDescent="0.2">
      <c r="A142"/>
      <c r="B142"/>
      <c r="C142"/>
      <c r="D142"/>
      <c r="E142" s="7"/>
      <c r="F142"/>
      <c r="G142"/>
      <c r="H142" s="10"/>
      <c r="I142" s="10"/>
      <c r="J142" s="10"/>
      <c r="K142" s="10"/>
      <c r="L142" s="10"/>
      <c r="M142" s="51"/>
    </row>
    <row r="143" spans="1:13" x14ac:dyDescent="0.2">
      <c r="A143"/>
      <c r="B143"/>
      <c r="C143"/>
      <c r="D143"/>
      <c r="E143" s="7"/>
      <c r="F143"/>
      <c r="G143"/>
      <c r="H143" s="10"/>
      <c r="I143" s="10"/>
      <c r="J143" s="10"/>
      <c r="K143" s="10"/>
      <c r="L143" s="10"/>
      <c r="M143" s="51"/>
    </row>
    <row r="144" spans="1:13" x14ac:dyDescent="0.2">
      <c r="A144"/>
      <c r="B144"/>
      <c r="C144"/>
      <c r="D144"/>
      <c r="E144" s="7"/>
      <c r="F144"/>
      <c r="G144"/>
      <c r="H144" s="10"/>
      <c r="I144" s="10"/>
      <c r="J144" s="10"/>
      <c r="K144" s="10"/>
      <c r="L144" s="10"/>
      <c r="M144" s="51"/>
    </row>
    <row r="145" spans="1:13" x14ac:dyDescent="0.2">
      <c r="A145"/>
      <c r="B145"/>
      <c r="C145"/>
      <c r="D145"/>
      <c r="E145" s="7"/>
      <c r="F145"/>
      <c r="G145"/>
      <c r="H145" s="10"/>
      <c r="I145" s="10"/>
      <c r="J145" s="10"/>
      <c r="K145" s="10"/>
      <c r="L145" s="10"/>
      <c r="M145" s="51"/>
    </row>
    <row r="146" spans="1:13" x14ac:dyDescent="0.2">
      <c r="A146"/>
      <c r="B146"/>
      <c r="C146"/>
      <c r="D146"/>
      <c r="E146" s="7"/>
      <c r="F146"/>
      <c r="G146"/>
      <c r="H146" s="10"/>
      <c r="I146" s="10"/>
      <c r="J146" s="10"/>
      <c r="K146" s="10"/>
      <c r="L146" s="10"/>
      <c r="M146" s="51"/>
    </row>
    <row r="147" spans="1:13" x14ac:dyDescent="0.2">
      <c r="A147"/>
      <c r="B147"/>
      <c r="C147"/>
      <c r="D147"/>
      <c r="E147" s="7"/>
      <c r="F147"/>
      <c r="G147"/>
      <c r="H147" s="10"/>
      <c r="I147" s="10"/>
      <c r="J147" s="10"/>
      <c r="K147" s="10"/>
      <c r="L147" s="10"/>
      <c r="M147" s="51"/>
    </row>
    <row r="148" spans="1:13" x14ac:dyDescent="0.2">
      <c r="A148"/>
      <c r="B148"/>
      <c r="C148"/>
      <c r="D148"/>
      <c r="E148" s="7"/>
      <c r="F148"/>
      <c r="G148"/>
      <c r="H148" s="10"/>
      <c r="I148" s="10"/>
      <c r="J148" s="10"/>
      <c r="K148" s="10"/>
      <c r="L148" s="10"/>
      <c r="M148" s="51"/>
    </row>
    <row r="149" spans="1:13" x14ac:dyDescent="0.2">
      <c r="A149"/>
      <c r="B149"/>
      <c r="C149"/>
      <c r="D149"/>
      <c r="E149" s="7"/>
      <c r="F149"/>
      <c r="G149"/>
      <c r="H149" s="10"/>
      <c r="I149" s="10"/>
      <c r="J149" s="10"/>
      <c r="K149" s="10"/>
      <c r="L149" s="10"/>
      <c r="M149" s="51"/>
    </row>
    <row r="150" spans="1:13" x14ac:dyDescent="0.2">
      <c r="A150"/>
      <c r="B150"/>
      <c r="C150"/>
      <c r="D150"/>
      <c r="E150" s="7"/>
      <c r="F150"/>
      <c r="G150"/>
      <c r="H150" s="10"/>
      <c r="I150" s="10"/>
      <c r="J150" s="10"/>
      <c r="K150" s="10"/>
      <c r="L150" s="10"/>
      <c r="M150" s="51"/>
    </row>
    <row r="151" spans="1:13" x14ac:dyDescent="0.2">
      <c r="A151"/>
      <c r="B151"/>
      <c r="C151"/>
      <c r="D151"/>
      <c r="E151" s="7"/>
      <c r="F151"/>
      <c r="G151"/>
      <c r="H151" s="10"/>
      <c r="I151" s="10"/>
      <c r="J151" s="10"/>
      <c r="K151" s="10"/>
      <c r="L151" s="10"/>
      <c r="M151" s="51"/>
    </row>
    <row r="152" spans="1:13" x14ac:dyDescent="0.2">
      <c r="A152"/>
      <c r="B152"/>
      <c r="C152"/>
      <c r="D152"/>
      <c r="E152" s="7"/>
      <c r="F152"/>
      <c r="G152"/>
      <c r="H152" s="10"/>
      <c r="I152" s="10"/>
      <c r="J152" s="10"/>
      <c r="K152" s="10"/>
      <c r="L152" s="10"/>
      <c r="M152" s="51"/>
    </row>
    <row r="153" spans="1:13" x14ac:dyDescent="0.2">
      <c r="A153"/>
      <c r="B153"/>
      <c r="C153"/>
      <c r="D153"/>
      <c r="E153" s="7"/>
      <c r="F153"/>
      <c r="G153"/>
      <c r="H153" s="10"/>
      <c r="I153" s="10"/>
      <c r="J153" s="10"/>
      <c r="K153" s="10"/>
      <c r="L153" s="10"/>
      <c r="M153" s="51"/>
    </row>
    <row r="154" spans="1:13" x14ac:dyDescent="0.2">
      <c r="A154"/>
      <c r="B154"/>
      <c r="C154"/>
      <c r="D154"/>
      <c r="E154" s="7"/>
      <c r="F154"/>
      <c r="G154"/>
      <c r="H154" s="10"/>
      <c r="I154" s="10"/>
      <c r="J154" s="10"/>
      <c r="K154" s="10"/>
      <c r="L154" s="10"/>
      <c r="M154" s="51"/>
    </row>
    <row r="155" spans="1:13" x14ac:dyDescent="0.2">
      <c r="A155"/>
      <c r="B155"/>
      <c r="C155"/>
      <c r="D155"/>
      <c r="E155" s="7"/>
      <c r="F155"/>
      <c r="G155"/>
      <c r="H155" s="10"/>
      <c r="I155" s="10"/>
      <c r="J155" s="10"/>
      <c r="K155" s="10"/>
      <c r="L155" s="10"/>
      <c r="M155" s="51"/>
    </row>
    <row r="156" spans="1:13" x14ac:dyDescent="0.2">
      <c r="A156"/>
      <c r="B156"/>
      <c r="C156"/>
      <c r="D156"/>
      <c r="E156" s="7"/>
      <c r="F156"/>
      <c r="G156"/>
      <c r="H156" s="10"/>
      <c r="I156" s="10"/>
      <c r="J156" s="10"/>
      <c r="K156" s="10"/>
      <c r="L156" s="10"/>
      <c r="M156" s="51"/>
    </row>
    <row r="157" spans="1:13" x14ac:dyDescent="0.2">
      <c r="A157"/>
      <c r="B157"/>
      <c r="C157"/>
      <c r="D157"/>
      <c r="E157" s="7"/>
      <c r="F157"/>
      <c r="G157"/>
      <c r="H157" s="10"/>
      <c r="I157" s="10"/>
      <c r="J157" s="10"/>
      <c r="K157" s="10"/>
      <c r="L157" s="10"/>
      <c r="M157" s="51"/>
    </row>
    <row r="158" spans="1:13" x14ac:dyDescent="0.2">
      <c r="A158"/>
      <c r="B158"/>
      <c r="C158"/>
      <c r="D158"/>
      <c r="E158" s="7"/>
      <c r="F158"/>
      <c r="G158"/>
      <c r="H158" s="10"/>
      <c r="I158" s="10"/>
      <c r="J158" s="10"/>
      <c r="K158" s="10"/>
      <c r="L158" s="10"/>
      <c r="M158" s="51"/>
    </row>
    <row r="159" spans="1:13" x14ac:dyDescent="0.2">
      <c r="A159"/>
      <c r="B159"/>
      <c r="C159"/>
      <c r="D159"/>
      <c r="E159" s="7"/>
      <c r="F159"/>
      <c r="G159"/>
      <c r="H159" s="10"/>
      <c r="I159" s="10"/>
      <c r="J159" s="10"/>
      <c r="K159" s="10"/>
      <c r="L159" s="10"/>
      <c r="M159" s="51"/>
    </row>
    <row r="160" spans="1:13" x14ac:dyDescent="0.2">
      <c r="A160"/>
      <c r="B160"/>
      <c r="C160"/>
      <c r="D160"/>
      <c r="E160" s="7"/>
      <c r="F160"/>
      <c r="G160"/>
      <c r="H160" s="10"/>
      <c r="I160" s="10"/>
      <c r="J160" s="10"/>
      <c r="K160" s="10"/>
      <c r="L160" s="10"/>
      <c r="M160" s="51"/>
    </row>
    <row r="161" spans="1:13" x14ac:dyDescent="0.2">
      <c r="A161"/>
      <c r="B161"/>
      <c r="C161"/>
      <c r="D161"/>
      <c r="E161" s="7"/>
      <c r="F161"/>
      <c r="G161"/>
      <c r="H161" s="10"/>
      <c r="I161" s="10"/>
      <c r="J161" s="10"/>
      <c r="K161" s="10"/>
      <c r="L161" s="10"/>
      <c r="M161" s="51"/>
    </row>
    <row r="162" spans="1:13" x14ac:dyDescent="0.2">
      <c r="A162"/>
      <c r="B162"/>
      <c r="C162"/>
      <c r="D162"/>
      <c r="E162" s="7"/>
      <c r="F162"/>
      <c r="G162"/>
      <c r="H162" s="10"/>
      <c r="I162" s="10"/>
      <c r="J162" s="10"/>
      <c r="K162" s="10"/>
      <c r="L162" s="10"/>
      <c r="M162" s="51"/>
    </row>
    <row r="163" spans="1:13" x14ac:dyDescent="0.2">
      <c r="A163"/>
      <c r="B163"/>
      <c r="C163"/>
      <c r="D163"/>
      <c r="E163" s="7"/>
      <c r="F163"/>
      <c r="G163"/>
      <c r="H163" s="10"/>
      <c r="I163" s="10"/>
      <c r="J163" s="10"/>
      <c r="K163" s="10"/>
      <c r="L163" s="10"/>
      <c r="M163" s="51"/>
    </row>
    <row r="164" spans="1:13" x14ac:dyDescent="0.2">
      <c r="A164"/>
      <c r="B164"/>
      <c r="C164"/>
      <c r="D164"/>
      <c r="E164" s="7"/>
      <c r="F164"/>
      <c r="G164"/>
      <c r="H164" s="10"/>
      <c r="I164" s="10"/>
      <c r="J164" s="10"/>
      <c r="K164" s="10"/>
      <c r="L164" s="10"/>
      <c r="M164" s="51"/>
    </row>
    <row r="165" spans="1:13" x14ac:dyDescent="0.2">
      <c r="A165"/>
      <c r="B165"/>
      <c r="C165"/>
      <c r="D165"/>
      <c r="E165" s="7"/>
      <c r="F165"/>
      <c r="G165"/>
      <c r="H165" s="10"/>
      <c r="I165" s="10"/>
      <c r="J165" s="10"/>
      <c r="K165" s="10"/>
      <c r="L165" s="10"/>
      <c r="M165" s="51"/>
    </row>
    <row r="166" spans="1:13" x14ac:dyDescent="0.2">
      <c r="A166"/>
      <c r="B166"/>
      <c r="C166"/>
      <c r="D166"/>
      <c r="E166" s="7"/>
      <c r="F166"/>
      <c r="G166"/>
      <c r="H166" s="10"/>
      <c r="I166" s="10"/>
      <c r="J166" s="10"/>
      <c r="K166" s="10"/>
      <c r="L166" s="10"/>
      <c r="M166" s="51"/>
    </row>
    <row r="167" spans="1:13" x14ac:dyDescent="0.2">
      <c r="A167"/>
      <c r="B167"/>
      <c r="C167"/>
      <c r="D167"/>
      <c r="E167" s="7"/>
      <c r="F167"/>
      <c r="G167"/>
      <c r="H167" s="10"/>
      <c r="I167" s="10"/>
      <c r="J167" s="10"/>
      <c r="K167" s="10"/>
      <c r="L167" s="10"/>
      <c r="M167" s="51"/>
    </row>
    <row r="168" spans="1:13" x14ac:dyDescent="0.2">
      <c r="A168"/>
      <c r="B168"/>
      <c r="C168"/>
      <c r="D168"/>
      <c r="E168" s="7"/>
      <c r="F168"/>
      <c r="G168"/>
      <c r="H168" s="10"/>
      <c r="I168" s="10"/>
      <c r="J168" s="10"/>
      <c r="K168" s="10"/>
      <c r="L168" s="10"/>
      <c r="M168" s="51"/>
    </row>
    <row r="169" spans="1:13" x14ac:dyDescent="0.2">
      <c r="A169"/>
      <c r="B169"/>
      <c r="C169"/>
      <c r="D169"/>
      <c r="E169" s="7"/>
      <c r="F169"/>
      <c r="G169"/>
      <c r="H169" s="10"/>
      <c r="I169" s="10"/>
      <c r="J169" s="10"/>
      <c r="K169" s="10"/>
      <c r="L169" s="10"/>
      <c r="M169" s="51"/>
    </row>
    <row r="170" spans="1:13" x14ac:dyDescent="0.2">
      <c r="A170"/>
      <c r="B170"/>
      <c r="C170"/>
      <c r="D170"/>
      <c r="E170" s="7"/>
      <c r="F170"/>
      <c r="G170"/>
      <c r="H170" s="10"/>
      <c r="I170" s="10"/>
      <c r="J170" s="10"/>
      <c r="K170" s="10"/>
      <c r="L170" s="10"/>
      <c r="M170" s="51"/>
    </row>
    <row r="171" spans="1:13" x14ac:dyDescent="0.2">
      <c r="A171"/>
      <c r="B171"/>
      <c r="C171"/>
      <c r="D171"/>
      <c r="E171" s="7"/>
      <c r="F171"/>
      <c r="G171"/>
      <c r="H171" s="10"/>
      <c r="I171" s="10"/>
      <c r="J171" s="10"/>
      <c r="K171" s="10"/>
      <c r="L171" s="10"/>
      <c r="M171" s="51"/>
    </row>
    <row r="172" spans="1:13" x14ac:dyDescent="0.2">
      <c r="A172"/>
      <c r="B172"/>
      <c r="C172"/>
      <c r="D172"/>
      <c r="E172" s="7"/>
      <c r="F172"/>
      <c r="G172"/>
      <c r="H172" s="10"/>
      <c r="I172" s="10"/>
      <c r="J172" s="10"/>
      <c r="K172" s="10"/>
      <c r="L172" s="10"/>
      <c r="M172" s="51"/>
    </row>
    <row r="173" spans="1:13" x14ac:dyDescent="0.2">
      <c r="A173"/>
      <c r="B173"/>
      <c r="C173"/>
      <c r="D173"/>
      <c r="E173" s="7"/>
      <c r="F173"/>
      <c r="G173"/>
      <c r="H173" s="10"/>
      <c r="I173" s="10"/>
      <c r="J173" s="10"/>
      <c r="K173" s="10"/>
      <c r="L173" s="10"/>
      <c r="M173" s="51"/>
    </row>
    <row r="174" spans="1:13" x14ac:dyDescent="0.2">
      <c r="A174"/>
      <c r="B174"/>
      <c r="C174"/>
      <c r="D174"/>
      <c r="E174" s="7"/>
      <c r="F174"/>
      <c r="G174"/>
      <c r="H174" s="10"/>
      <c r="I174" s="10"/>
      <c r="J174" s="10"/>
      <c r="K174" s="10"/>
      <c r="L174" s="10"/>
      <c r="M174" s="51"/>
    </row>
    <row r="175" spans="1:13" x14ac:dyDescent="0.2">
      <c r="A175"/>
      <c r="B175"/>
      <c r="C175"/>
      <c r="D175"/>
      <c r="E175" s="7"/>
      <c r="F175"/>
      <c r="G175"/>
      <c r="H175" s="10"/>
      <c r="I175" s="10"/>
      <c r="J175" s="10"/>
      <c r="K175" s="10"/>
      <c r="L175" s="10"/>
      <c r="M175" s="51"/>
    </row>
    <row r="176" spans="1:13" x14ac:dyDescent="0.2">
      <c r="A176"/>
      <c r="B176"/>
      <c r="C176"/>
      <c r="D176"/>
      <c r="E176" s="7"/>
      <c r="F176"/>
      <c r="G176"/>
      <c r="H176" s="10"/>
      <c r="I176" s="10"/>
      <c r="J176" s="10"/>
      <c r="K176" s="10"/>
      <c r="L176" s="10"/>
      <c r="M176" s="51"/>
    </row>
    <row r="177" spans="1:13" x14ac:dyDescent="0.2">
      <c r="A177"/>
      <c r="B177"/>
      <c r="C177"/>
      <c r="D177"/>
      <c r="E177" s="7"/>
      <c r="F177"/>
      <c r="G177"/>
      <c r="H177" s="10"/>
      <c r="I177" s="10"/>
      <c r="J177" s="10"/>
      <c r="K177" s="10"/>
      <c r="L177" s="10"/>
      <c r="M177" s="51"/>
    </row>
    <row r="178" spans="1:13" x14ac:dyDescent="0.2">
      <c r="A178"/>
      <c r="B178"/>
      <c r="C178"/>
      <c r="D178"/>
      <c r="E178" s="7"/>
      <c r="F178"/>
      <c r="G178"/>
      <c r="H178" s="10"/>
      <c r="I178" s="10"/>
      <c r="J178" s="10"/>
      <c r="K178" s="10"/>
      <c r="L178" s="10"/>
      <c r="M178" s="51"/>
    </row>
    <row r="179" spans="1:13" x14ac:dyDescent="0.2">
      <c r="A179"/>
      <c r="B179"/>
      <c r="C179"/>
      <c r="D179"/>
      <c r="E179" s="7"/>
      <c r="F179"/>
      <c r="G179"/>
      <c r="H179" s="10"/>
      <c r="I179" s="10"/>
      <c r="J179" s="10"/>
      <c r="K179" s="10"/>
      <c r="L179" s="10"/>
      <c r="M179" s="51"/>
    </row>
    <row r="180" spans="1:13" x14ac:dyDescent="0.2">
      <c r="A180"/>
      <c r="B180"/>
      <c r="C180"/>
      <c r="D180"/>
      <c r="E180" s="7"/>
      <c r="F180"/>
      <c r="G180"/>
      <c r="H180" s="10"/>
      <c r="I180" s="10"/>
      <c r="J180" s="10"/>
      <c r="K180" s="10"/>
      <c r="L180" s="10"/>
      <c r="M180" s="51"/>
    </row>
    <row r="181" spans="1:13" x14ac:dyDescent="0.2">
      <c r="A181"/>
      <c r="B181"/>
      <c r="C181"/>
      <c r="D181"/>
      <c r="E181" s="7"/>
      <c r="F181"/>
      <c r="G181"/>
      <c r="H181" s="10"/>
      <c r="I181" s="10"/>
      <c r="J181" s="10"/>
      <c r="K181" s="10"/>
      <c r="L181" s="10"/>
      <c r="M181" s="51"/>
    </row>
    <row r="182" spans="1:13" x14ac:dyDescent="0.2">
      <c r="A182"/>
      <c r="B182"/>
      <c r="C182"/>
      <c r="D182"/>
      <c r="E182" s="7"/>
      <c r="F182"/>
      <c r="G182"/>
      <c r="H182" s="10"/>
      <c r="I182" s="10"/>
      <c r="J182" s="10"/>
      <c r="K182" s="10"/>
      <c r="L182" s="10"/>
      <c r="M182" s="51"/>
    </row>
    <row r="183" spans="1:13" x14ac:dyDescent="0.2">
      <c r="A183"/>
      <c r="B183"/>
      <c r="C183"/>
      <c r="D183"/>
      <c r="E183" s="7"/>
      <c r="F183"/>
      <c r="G183"/>
      <c r="H183" s="10"/>
      <c r="I183" s="10"/>
      <c r="J183" s="10"/>
      <c r="K183" s="10"/>
      <c r="L183" s="10"/>
      <c r="M183" s="51"/>
    </row>
    <row r="184" spans="1:13" x14ac:dyDescent="0.2">
      <c r="A184"/>
      <c r="B184"/>
      <c r="C184"/>
      <c r="D184"/>
      <c r="E184" s="7"/>
      <c r="F184"/>
      <c r="G184"/>
      <c r="H184" s="10"/>
      <c r="I184" s="10"/>
      <c r="J184" s="10"/>
      <c r="K184" s="10"/>
      <c r="L184" s="10"/>
      <c r="M184" s="51"/>
    </row>
    <row r="185" spans="1:13" x14ac:dyDescent="0.2">
      <c r="A185"/>
      <c r="B185"/>
      <c r="C185"/>
      <c r="D185"/>
      <c r="E185" s="7"/>
      <c r="F185"/>
      <c r="G185"/>
      <c r="H185" s="10"/>
      <c r="I185" s="10"/>
      <c r="J185" s="10"/>
      <c r="K185" s="10"/>
      <c r="L185" s="10"/>
      <c r="M185" s="51"/>
    </row>
    <row r="186" spans="1:13" x14ac:dyDescent="0.2">
      <c r="A186"/>
      <c r="B186"/>
      <c r="C186"/>
      <c r="D186"/>
      <c r="E186" s="7"/>
      <c r="F186"/>
      <c r="G186"/>
      <c r="H186" s="10"/>
      <c r="I186" s="10"/>
      <c r="J186" s="10"/>
      <c r="K186" s="10"/>
      <c r="L186" s="10"/>
      <c r="M186" s="51"/>
    </row>
    <row r="187" spans="1:13" x14ac:dyDescent="0.2">
      <c r="A187"/>
      <c r="B187"/>
      <c r="C187"/>
      <c r="D187"/>
      <c r="E187" s="7"/>
      <c r="F187"/>
      <c r="G187"/>
      <c r="H187" s="10"/>
      <c r="I187" s="10"/>
      <c r="J187" s="10"/>
      <c r="K187" s="10"/>
      <c r="L187" s="10"/>
      <c r="M187" s="51"/>
    </row>
    <row r="188" spans="1:13" x14ac:dyDescent="0.2">
      <c r="A188"/>
      <c r="B188"/>
      <c r="C188"/>
      <c r="D188"/>
      <c r="E188" s="7"/>
      <c r="F188"/>
      <c r="G188"/>
      <c r="H188" s="10"/>
      <c r="I188" s="10"/>
      <c r="J188" s="10"/>
      <c r="K188" s="10"/>
      <c r="L188" s="10"/>
      <c r="M188" s="51"/>
    </row>
    <row r="189" spans="1:13" x14ac:dyDescent="0.2">
      <c r="A189"/>
      <c r="B189"/>
      <c r="C189"/>
      <c r="D189"/>
      <c r="E189" s="7"/>
      <c r="F189"/>
      <c r="G189"/>
      <c r="H189" s="10"/>
      <c r="I189" s="10"/>
      <c r="J189" s="10"/>
      <c r="K189" s="10"/>
      <c r="L189" s="10"/>
      <c r="M189" s="51"/>
    </row>
    <row r="190" spans="1:13" x14ac:dyDescent="0.2">
      <c r="A190"/>
      <c r="B190"/>
      <c r="C190"/>
      <c r="D190"/>
      <c r="E190" s="7"/>
      <c r="F190"/>
      <c r="G190"/>
      <c r="H190" s="10"/>
      <c r="I190" s="10"/>
      <c r="J190" s="10"/>
      <c r="K190" s="10"/>
      <c r="L190" s="10"/>
      <c r="M190" s="51"/>
    </row>
    <row r="191" spans="1:13" x14ac:dyDescent="0.2">
      <c r="A191"/>
      <c r="B191"/>
      <c r="C191"/>
      <c r="D191"/>
      <c r="E191" s="7"/>
      <c r="F191"/>
      <c r="G191"/>
      <c r="H191" s="10"/>
      <c r="I191" s="10"/>
      <c r="J191" s="10"/>
      <c r="K191" s="10"/>
      <c r="L191" s="10"/>
      <c r="M191" s="51"/>
    </row>
    <row r="192" spans="1:13" x14ac:dyDescent="0.2">
      <c r="A192"/>
      <c r="B192"/>
      <c r="C192"/>
      <c r="D192"/>
      <c r="E192" s="7"/>
      <c r="F192"/>
      <c r="G192"/>
      <c r="H192" s="10"/>
      <c r="I192" s="10"/>
      <c r="J192" s="10"/>
      <c r="K192" s="10"/>
      <c r="L192" s="10"/>
      <c r="M192" s="51"/>
    </row>
    <row r="193" spans="1:13" x14ac:dyDescent="0.2">
      <c r="A193"/>
      <c r="B193"/>
      <c r="C193"/>
      <c r="D193"/>
      <c r="E193" s="7"/>
      <c r="F193"/>
      <c r="G193"/>
      <c r="H193" s="10"/>
      <c r="I193" s="10"/>
      <c r="J193" s="10"/>
      <c r="K193" s="10"/>
      <c r="L193" s="10"/>
      <c r="M193" s="51"/>
    </row>
    <row r="194" spans="1:13" x14ac:dyDescent="0.2">
      <c r="A194"/>
      <c r="B194"/>
      <c r="C194"/>
      <c r="D194"/>
      <c r="E194" s="7"/>
      <c r="F194"/>
      <c r="G194"/>
      <c r="H194" s="10"/>
      <c r="I194" s="10"/>
      <c r="J194" s="10"/>
      <c r="K194" s="10"/>
      <c r="L194" s="10"/>
      <c r="M194" s="51"/>
    </row>
    <row r="195" spans="1:13" x14ac:dyDescent="0.2">
      <c r="A195"/>
      <c r="B195"/>
      <c r="C195"/>
      <c r="D195"/>
      <c r="E195" s="7"/>
      <c r="F195"/>
      <c r="G195"/>
      <c r="H195" s="10"/>
      <c r="I195" s="10"/>
      <c r="J195" s="10"/>
      <c r="K195" s="10"/>
      <c r="L195" s="10"/>
      <c r="M195" s="51"/>
    </row>
    <row r="196" spans="1:13" x14ac:dyDescent="0.2">
      <c r="A196"/>
      <c r="B196"/>
      <c r="C196"/>
      <c r="D196"/>
      <c r="E196" s="7"/>
      <c r="F196"/>
      <c r="G196"/>
      <c r="H196" s="10"/>
      <c r="I196" s="10"/>
      <c r="J196" s="10"/>
      <c r="K196" s="10"/>
      <c r="L196" s="10"/>
      <c r="M196" s="51"/>
    </row>
    <row r="197" spans="1:13" x14ac:dyDescent="0.2">
      <c r="A197"/>
      <c r="B197"/>
      <c r="C197"/>
      <c r="D197"/>
      <c r="E197" s="7"/>
      <c r="F197"/>
      <c r="G197"/>
      <c r="H197" s="10"/>
      <c r="I197" s="10"/>
      <c r="J197" s="10"/>
      <c r="K197" s="10"/>
      <c r="L197" s="10"/>
      <c r="M197" s="51"/>
    </row>
    <row r="198" spans="1:13" x14ac:dyDescent="0.2">
      <c r="A198"/>
      <c r="B198"/>
      <c r="C198"/>
      <c r="D198"/>
      <c r="E198" s="7"/>
      <c r="F198"/>
      <c r="G198"/>
      <c r="H198" s="10"/>
      <c r="I198" s="10"/>
      <c r="J198" s="10"/>
      <c r="K198" s="10"/>
      <c r="L198" s="10"/>
      <c r="M198" s="51"/>
    </row>
    <row r="199" spans="1:13" x14ac:dyDescent="0.2">
      <c r="A199"/>
      <c r="B199"/>
      <c r="C199"/>
      <c r="D199"/>
      <c r="E199" s="7"/>
      <c r="F199"/>
      <c r="G199"/>
      <c r="H199" s="10"/>
      <c r="I199" s="10"/>
      <c r="J199" s="10"/>
      <c r="K199" s="10"/>
      <c r="L199" s="10"/>
      <c r="M199" s="51"/>
    </row>
    <row r="200" spans="1:13" x14ac:dyDescent="0.2">
      <c r="A200"/>
      <c r="B200"/>
      <c r="C200"/>
      <c r="D200"/>
      <c r="E200" s="7"/>
      <c r="F200"/>
      <c r="G200"/>
      <c r="H200" s="10"/>
      <c r="I200" s="10"/>
      <c r="J200" s="10"/>
      <c r="K200" s="10"/>
      <c r="L200" s="10"/>
      <c r="M200" s="51"/>
    </row>
    <row r="201" spans="1:13" x14ac:dyDescent="0.2">
      <c r="A201"/>
      <c r="B201"/>
      <c r="C201"/>
      <c r="D201"/>
      <c r="E201" s="7"/>
      <c r="F201"/>
      <c r="G201"/>
      <c r="H201" s="10"/>
      <c r="I201" s="10"/>
      <c r="J201" s="10"/>
      <c r="K201" s="10"/>
      <c r="L201" s="10"/>
      <c r="M201" s="51"/>
    </row>
    <row r="202" spans="1:13" x14ac:dyDescent="0.2">
      <c r="A202"/>
      <c r="B202"/>
      <c r="C202"/>
      <c r="D202"/>
      <c r="E202" s="7"/>
      <c r="F202"/>
      <c r="G202"/>
      <c r="H202" s="10"/>
      <c r="I202" s="10"/>
      <c r="J202" s="10"/>
      <c r="K202" s="10"/>
      <c r="L202" s="10"/>
      <c r="M202" s="51"/>
    </row>
    <row r="203" spans="1:13" x14ac:dyDescent="0.2">
      <c r="A203"/>
      <c r="B203"/>
      <c r="C203"/>
      <c r="D203"/>
      <c r="E203" s="7"/>
      <c r="F203"/>
      <c r="G203"/>
      <c r="H203" s="10"/>
      <c r="I203" s="10"/>
      <c r="J203" s="10"/>
      <c r="K203" s="10"/>
      <c r="L203" s="10"/>
      <c r="M203" s="51"/>
    </row>
    <row r="204" spans="1:13" x14ac:dyDescent="0.2">
      <c r="A204"/>
      <c r="B204"/>
      <c r="C204"/>
      <c r="D204"/>
      <c r="E204" s="7"/>
      <c r="F204"/>
      <c r="G204"/>
      <c r="H204" s="10"/>
      <c r="I204" s="10"/>
      <c r="J204" s="10"/>
      <c r="K204" s="10"/>
      <c r="L204" s="10"/>
      <c r="M204" s="51"/>
    </row>
    <row r="205" spans="1:13" x14ac:dyDescent="0.2">
      <c r="A205"/>
      <c r="B205"/>
      <c r="C205"/>
      <c r="D205"/>
      <c r="E205" s="7"/>
      <c r="F205"/>
      <c r="G205"/>
      <c r="H205" s="10"/>
      <c r="I205" s="10"/>
      <c r="J205" s="10"/>
      <c r="K205" s="10"/>
      <c r="L205" s="10"/>
      <c r="M205" s="51"/>
    </row>
    <row r="206" spans="1:13" x14ac:dyDescent="0.2">
      <c r="A206"/>
      <c r="B206"/>
      <c r="C206"/>
      <c r="D206"/>
      <c r="E206" s="7"/>
      <c r="F206"/>
      <c r="G206"/>
      <c r="H206" s="10"/>
      <c r="I206" s="10"/>
      <c r="J206" s="10"/>
      <c r="K206" s="10"/>
      <c r="L206" s="10"/>
      <c r="M206" s="51"/>
    </row>
    <row r="207" spans="1:13" x14ac:dyDescent="0.2">
      <c r="A207"/>
      <c r="B207"/>
      <c r="C207"/>
      <c r="D207"/>
      <c r="E207" s="7"/>
      <c r="F207"/>
      <c r="G207"/>
      <c r="H207" s="10"/>
      <c r="I207" s="10"/>
      <c r="J207" s="10"/>
      <c r="K207" s="10"/>
      <c r="L207" s="10"/>
      <c r="M207" s="51"/>
    </row>
    <row r="208" spans="1:13" x14ac:dyDescent="0.2">
      <c r="A208"/>
      <c r="B208"/>
      <c r="C208"/>
      <c r="D208"/>
      <c r="E208" s="7"/>
      <c r="F208"/>
      <c r="G208"/>
      <c r="H208" s="10"/>
      <c r="I208" s="10"/>
      <c r="J208" s="10"/>
      <c r="K208" s="10"/>
      <c r="L208" s="10"/>
      <c r="M208" s="51"/>
    </row>
    <row r="209" spans="1:13" x14ac:dyDescent="0.2">
      <c r="A209"/>
      <c r="B209"/>
      <c r="C209"/>
      <c r="D209"/>
      <c r="E209" s="7"/>
      <c r="F209"/>
      <c r="G209"/>
      <c r="H209" s="10"/>
      <c r="I209" s="10"/>
      <c r="J209" s="10"/>
      <c r="K209" s="10"/>
      <c r="L209" s="10"/>
      <c r="M209" s="51"/>
    </row>
    <row r="210" spans="1:13" x14ac:dyDescent="0.2">
      <c r="A210"/>
      <c r="B210"/>
      <c r="C210"/>
      <c r="D210"/>
      <c r="E210" s="7"/>
      <c r="F210"/>
      <c r="G210"/>
      <c r="H210" s="10"/>
      <c r="I210" s="10"/>
      <c r="J210" s="10"/>
      <c r="K210" s="10"/>
      <c r="L210" s="10"/>
      <c r="M210" s="51"/>
    </row>
    <row r="211" spans="1:13" x14ac:dyDescent="0.2">
      <c r="A211"/>
      <c r="B211"/>
      <c r="C211"/>
      <c r="D211"/>
      <c r="E211" s="7"/>
      <c r="F211"/>
      <c r="G211"/>
      <c r="H211" s="10"/>
      <c r="I211" s="10"/>
      <c r="J211" s="10"/>
      <c r="K211" s="10"/>
      <c r="L211" s="10"/>
      <c r="M211" s="51"/>
    </row>
    <row r="212" spans="1:13" x14ac:dyDescent="0.2">
      <c r="A212"/>
      <c r="B212"/>
      <c r="C212"/>
      <c r="D212"/>
      <c r="E212" s="7"/>
      <c r="F212"/>
      <c r="G212"/>
      <c r="H212" s="10"/>
      <c r="I212" s="10"/>
      <c r="J212" s="10"/>
      <c r="K212" s="10"/>
      <c r="L212" s="10"/>
      <c r="M212" s="51"/>
    </row>
    <row r="213" spans="1:13" x14ac:dyDescent="0.2">
      <c r="A213"/>
      <c r="B213"/>
      <c r="C213"/>
      <c r="D213"/>
      <c r="E213" s="7"/>
      <c r="F213"/>
      <c r="G213"/>
      <c r="H213" s="10"/>
      <c r="I213" s="10"/>
      <c r="J213" s="10"/>
      <c r="K213" s="10"/>
      <c r="L213" s="10"/>
      <c r="M213" s="51"/>
    </row>
    <row r="214" spans="1:13" x14ac:dyDescent="0.2">
      <c r="A214"/>
      <c r="B214"/>
      <c r="C214"/>
      <c r="D214"/>
      <c r="E214" s="7"/>
      <c r="F214"/>
      <c r="G214"/>
      <c r="H214" s="10"/>
      <c r="I214" s="10"/>
      <c r="J214" s="10"/>
      <c r="K214" s="10"/>
      <c r="L214" s="10"/>
      <c r="M214" s="51"/>
    </row>
    <row r="215" spans="1:13" x14ac:dyDescent="0.2">
      <c r="A215"/>
      <c r="B215"/>
      <c r="C215"/>
      <c r="D215"/>
      <c r="E215" s="7"/>
      <c r="F215"/>
      <c r="G215"/>
      <c r="H215" s="10"/>
      <c r="I215" s="10"/>
      <c r="J215" s="10"/>
      <c r="K215" s="10"/>
      <c r="L215" s="10"/>
      <c r="M215" s="51"/>
    </row>
    <row r="216" spans="1:13" x14ac:dyDescent="0.2">
      <c r="A216"/>
      <c r="B216"/>
      <c r="C216"/>
      <c r="D216"/>
      <c r="E216" s="7"/>
      <c r="F216"/>
      <c r="G216"/>
      <c r="H216" s="10"/>
      <c r="I216" s="10"/>
      <c r="J216" s="10"/>
      <c r="K216" s="10"/>
      <c r="L216" s="10"/>
      <c r="M216" s="51"/>
    </row>
    <row r="217" spans="1:13" x14ac:dyDescent="0.2">
      <c r="A217"/>
      <c r="B217"/>
      <c r="C217"/>
      <c r="D217"/>
      <c r="E217" s="7"/>
      <c r="F217"/>
      <c r="G217"/>
      <c r="H217" s="10"/>
      <c r="I217" s="10"/>
      <c r="J217" s="10"/>
      <c r="K217" s="10"/>
      <c r="L217" s="10"/>
      <c r="M217" s="51"/>
    </row>
    <row r="218" spans="1:13" x14ac:dyDescent="0.2">
      <c r="A218"/>
      <c r="B218"/>
      <c r="C218"/>
      <c r="D218"/>
      <c r="E218" s="7"/>
      <c r="F218"/>
      <c r="G218"/>
      <c r="H218" s="10"/>
      <c r="I218" s="10"/>
      <c r="J218" s="10"/>
      <c r="K218" s="10"/>
      <c r="L218" s="10"/>
      <c r="M218" s="51"/>
    </row>
    <row r="219" spans="1:13" x14ac:dyDescent="0.2">
      <c r="A219"/>
      <c r="B219"/>
      <c r="C219"/>
      <c r="D219"/>
      <c r="E219" s="7"/>
      <c r="F219"/>
      <c r="G219"/>
      <c r="H219" s="10"/>
      <c r="I219" s="10"/>
      <c r="J219" s="10"/>
      <c r="K219" s="10"/>
      <c r="L219" s="10"/>
      <c r="M219" s="51"/>
    </row>
    <row r="220" spans="1:13" x14ac:dyDescent="0.2">
      <c r="A220"/>
      <c r="B220"/>
      <c r="C220"/>
      <c r="D220"/>
      <c r="E220" s="7"/>
      <c r="F220"/>
      <c r="G220"/>
      <c r="H220" s="10"/>
      <c r="I220" s="10"/>
      <c r="J220" s="10"/>
      <c r="K220" s="10"/>
      <c r="L220" s="10"/>
      <c r="M220" s="51"/>
    </row>
    <row r="221" spans="1:13" x14ac:dyDescent="0.2">
      <c r="A221"/>
      <c r="B221"/>
      <c r="C221"/>
      <c r="D221"/>
      <c r="E221" s="7"/>
      <c r="F221"/>
      <c r="G221"/>
      <c r="H221" s="10"/>
      <c r="I221" s="10"/>
      <c r="J221" s="10"/>
      <c r="K221" s="10"/>
      <c r="L221" s="10"/>
      <c r="M221" s="51"/>
    </row>
    <row r="222" spans="1:13" x14ac:dyDescent="0.2">
      <c r="A222"/>
      <c r="B222"/>
      <c r="C222"/>
      <c r="D222"/>
      <c r="E222" s="7"/>
      <c r="F222"/>
      <c r="G222"/>
      <c r="H222" s="10"/>
      <c r="I222" s="10"/>
      <c r="J222" s="10"/>
      <c r="K222" s="10"/>
      <c r="L222" s="10"/>
      <c r="M222" s="51"/>
    </row>
    <row r="223" spans="1:13" x14ac:dyDescent="0.2">
      <c r="A223"/>
      <c r="B223"/>
      <c r="C223"/>
      <c r="D223"/>
      <c r="E223" s="7"/>
      <c r="F223"/>
      <c r="G223"/>
      <c r="H223" s="10"/>
      <c r="I223" s="10"/>
      <c r="J223" s="10"/>
      <c r="K223" s="10"/>
      <c r="L223" s="10"/>
      <c r="M223" s="51"/>
    </row>
    <row r="224" spans="1:13" x14ac:dyDescent="0.2">
      <c r="A224"/>
      <c r="B224"/>
      <c r="C224"/>
      <c r="D224"/>
      <c r="E224" s="7"/>
      <c r="F224"/>
      <c r="G224"/>
      <c r="H224" s="10"/>
      <c r="I224" s="10"/>
      <c r="J224" s="10"/>
      <c r="K224" s="10"/>
      <c r="L224" s="10"/>
      <c r="M224" s="51"/>
    </row>
    <row r="225" spans="1:13" x14ac:dyDescent="0.2">
      <c r="A225"/>
      <c r="B225"/>
      <c r="C225"/>
      <c r="D225"/>
      <c r="E225" s="7"/>
      <c r="F225"/>
      <c r="G225"/>
      <c r="H225" s="10"/>
      <c r="I225" s="10"/>
      <c r="J225" s="10"/>
      <c r="K225" s="10"/>
      <c r="L225" s="10"/>
      <c r="M225" s="51"/>
    </row>
    <row r="226" spans="1:13" x14ac:dyDescent="0.2">
      <c r="A226"/>
      <c r="B226"/>
      <c r="C226"/>
      <c r="D226"/>
      <c r="E226" s="7"/>
      <c r="F226"/>
      <c r="G226"/>
      <c r="H226" s="10"/>
      <c r="I226" s="10"/>
      <c r="J226" s="10"/>
      <c r="K226" s="10"/>
      <c r="L226" s="10"/>
      <c r="M226" s="51"/>
    </row>
    <row r="227" spans="1:13" x14ac:dyDescent="0.2">
      <c r="A227"/>
      <c r="B227"/>
      <c r="C227"/>
      <c r="D227"/>
      <c r="E227" s="7"/>
      <c r="F227"/>
      <c r="G227"/>
      <c r="H227" s="10"/>
      <c r="I227" s="10"/>
      <c r="J227" s="10"/>
      <c r="K227" s="10"/>
      <c r="L227" s="10"/>
      <c r="M227" s="51"/>
    </row>
    <row r="228" spans="1:13" x14ac:dyDescent="0.2">
      <c r="A228"/>
      <c r="B228"/>
      <c r="C228"/>
      <c r="D228"/>
      <c r="E228" s="7"/>
      <c r="F228"/>
      <c r="G228"/>
      <c r="H228" s="10"/>
      <c r="I228" s="10"/>
      <c r="J228" s="10"/>
      <c r="K228" s="10"/>
      <c r="L228" s="10"/>
      <c r="M228" s="51"/>
    </row>
    <row r="229" spans="1:13" x14ac:dyDescent="0.2">
      <c r="A229"/>
      <c r="B229"/>
      <c r="C229"/>
      <c r="D229"/>
      <c r="E229" s="7"/>
      <c r="F229"/>
      <c r="G229"/>
      <c r="H229" s="10"/>
      <c r="I229" s="10"/>
      <c r="J229" s="10"/>
      <c r="K229" s="10"/>
      <c r="L229" s="10"/>
      <c r="M229" s="51"/>
    </row>
    <row r="230" spans="1:13" x14ac:dyDescent="0.2">
      <c r="A230"/>
      <c r="B230"/>
      <c r="C230"/>
      <c r="D230"/>
      <c r="E230" s="7"/>
      <c r="F230"/>
      <c r="G230"/>
      <c r="H230" s="10"/>
      <c r="I230" s="10"/>
      <c r="J230" s="10"/>
      <c r="K230" s="10"/>
      <c r="L230" s="10"/>
      <c r="M230" s="51"/>
    </row>
    <row r="231" spans="1:13" x14ac:dyDescent="0.2">
      <c r="A231"/>
      <c r="B231"/>
      <c r="C231"/>
      <c r="D231"/>
      <c r="E231" s="7"/>
      <c r="F231"/>
      <c r="G231"/>
      <c r="H231" s="10"/>
      <c r="I231" s="10"/>
      <c r="J231" s="10"/>
      <c r="K231" s="10"/>
      <c r="L231" s="10"/>
      <c r="M231" s="51"/>
    </row>
    <row r="232" spans="1:13" x14ac:dyDescent="0.2">
      <c r="A232"/>
      <c r="B232"/>
      <c r="C232"/>
      <c r="D232"/>
      <c r="E232" s="7"/>
      <c r="F232"/>
      <c r="G232"/>
      <c r="H232" s="10"/>
      <c r="I232" s="10"/>
      <c r="J232" s="10"/>
      <c r="K232" s="10"/>
      <c r="L232" s="10"/>
      <c r="M232" s="51"/>
    </row>
    <row r="233" spans="1:13" x14ac:dyDescent="0.2">
      <c r="A233"/>
      <c r="B233"/>
      <c r="C233"/>
      <c r="D233"/>
      <c r="E233" s="7"/>
      <c r="F233"/>
      <c r="G233"/>
      <c r="H233" s="10"/>
      <c r="I233" s="10"/>
      <c r="J233" s="10"/>
      <c r="K233" s="10"/>
      <c r="L233" s="10"/>
      <c r="M233" s="51"/>
    </row>
    <row r="234" spans="1:13" x14ac:dyDescent="0.2">
      <c r="A234"/>
      <c r="B234"/>
      <c r="C234"/>
      <c r="D234"/>
      <c r="E234" s="7"/>
      <c r="F234"/>
      <c r="G234"/>
      <c r="H234" s="10"/>
      <c r="I234" s="10"/>
      <c r="J234" s="10"/>
      <c r="K234" s="10"/>
      <c r="L234" s="10"/>
      <c r="M234" s="51"/>
    </row>
    <row r="235" spans="1:13" x14ac:dyDescent="0.2">
      <c r="A235"/>
      <c r="B235"/>
      <c r="C235"/>
      <c r="D235"/>
      <c r="E235" s="7"/>
      <c r="F235"/>
      <c r="G235"/>
      <c r="H235" s="10"/>
      <c r="I235" s="10"/>
      <c r="J235" s="10"/>
      <c r="K235" s="10"/>
      <c r="L235" s="10"/>
      <c r="M235" s="51"/>
    </row>
  </sheetData>
  <pageMargins left="0.75" right="0.75" top="1" bottom="1" header="0.5" footer="0.5"/>
  <pageSetup scale="7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5"/>
  <sheetViews>
    <sheetView zoomScale="120" zoomScaleNormal="120" workbookViewId="0">
      <pane ySplit="1" topLeftCell="A2" activePane="bottomLeft" state="frozen"/>
      <selection pane="bottomLeft" activeCell="M18" sqref="M18"/>
    </sheetView>
  </sheetViews>
  <sheetFormatPr defaultColWidth="9.140625" defaultRowHeight="12.75" x14ac:dyDescent="0.2"/>
  <cols>
    <col min="1" max="1" width="10.140625" style="3" customWidth="1"/>
    <col min="2" max="2" width="25.7109375" style="3" customWidth="1"/>
    <col min="3" max="3" width="10.85546875" style="3" bestFit="1" customWidth="1"/>
    <col min="4" max="4" width="13.7109375" style="3" customWidth="1"/>
    <col min="5" max="5" width="11.42578125" style="8" customWidth="1"/>
    <col min="6" max="7" width="8" style="3" customWidth="1"/>
    <col min="8" max="8" width="8" style="11" customWidth="1"/>
    <col min="9" max="9" width="10.5703125" style="11" customWidth="1"/>
    <col min="10" max="10" width="15.28515625" style="11" customWidth="1"/>
    <col min="11" max="11" width="9.140625" style="11" customWidth="1"/>
    <col min="12" max="12" width="8" style="11" customWidth="1"/>
    <col min="13" max="13" width="116.28515625" style="82" customWidth="1"/>
    <col min="14" max="14" width="27.85546875" style="14" bestFit="1" customWidth="1"/>
    <col min="15" max="16384" width="9.140625" style="3"/>
  </cols>
  <sheetData>
    <row r="1" spans="1:14" s="1" customFormat="1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1" t="s">
        <v>5</v>
      </c>
      <c r="G1" s="1" t="s">
        <v>6</v>
      </c>
      <c r="H1" s="9" t="s">
        <v>7</v>
      </c>
      <c r="I1" s="30" t="s">
        <v>8</v>
      </c>
      <c r="J1" s="30" t="s">
        <v>9</v>
      </c>
      <c r="K1" s="16" t="s">
        <v>10</v>
      </c>
      <c r="L1" s="16" t="s">
        <v>11</v>
      </c>
      <c r="M1" s="77" t="s">
        <v>12</v>
      </c>
      <c r="N1" s="13"/>
    </row>
    <row r="2" spans="1:14" s="1" customFormat="1" x14ac:dyDescent="0.2">
      <c r="A2" s="2" t="s">
        <v>219</v>
      </c>
      <c r="B2" s="20" t="s">
        <v>126</v>
      </c>
      <c r="C2" s="43">
        <v>44256</v>
      </c>
      <c r="D2" s="2" t="s">
        <v>58</v>
      </c>
      <c r="E2" s="7">
        <v>14743</v>
      </c>
      <c r="F2"/>
      <c r="G2"/>
      <c r="H2" s="53">
        <v>-1.4865999999999999</v>
      </c>
      <c r="I2" s="33"/>
      <c r="J2" s="14"/>
      <c r="K2" s="24">
        <v>0</v>
      </c>
      <c r="L2" s="93">
        <v>-909</v>
      </c>
      <c r="M2" s="45">
        <f>-0.9216-0.565</f>
        <v>-1.4865999999999999</v>
      </c>
      <c r="N2" s="13"/>
    </row>
    <row r="3" spans="1:14" x14ac:dyDescent="0.2">
      <c r="A3" s="2" t="s">
        <v>219</v>
      </c>
      <c r="B3" s="20" t="s">
        <v>126</v>
      </c>
      <c r="C3" s="43">
        <v>44256</v>
      </c>
      <c r="D3" s="2" t="s">
        <v>46</v>
      </c>
      <c r="E3" s="7">
        <v>13390037</v>
      </c>
      <c r="F3"/>
      <c r="G3"/>
      <c r="H3" s="37">
        <v>-1.5535000000000001</v>
      </c>
      <c r="I3" s="10"/>
      <c r="J3" s="10"/>
      <c r="K3" s="10"/>
      <c r="L3" s="10"/>
      <c r="M3" s="46">
        <f>-1.4535-0.1</f>
        <v>-1.5535000000000001</v>
      </c>
      <c r="N3" s="3"/>
    </row>
    <row r="4" spans="1:14" x14ac:dyDescent="0.2">
      <c r="A4" s="2" t="s">
        <v>219</v>
      </c>
      <c r="B4" s="20" t="s">
        <v>126</v>
      </c>
      <c r="C4" s="43">
        <v>44256</v>
      </c>
      <c r="D4" s="2" t="s">
        <v>23</v>
      </c>
      <c r="E4" s="7"/>
      <c r="F4"/>
      <c r="G4"/>
      <c r="H4" s="159">
        <v>-1.8803000000000001</v>
      </c>
      <c r="I4" s="10"/>
      <c r="J4" s="10"/>
      <c r="K4" s="10"/>
      <c r="L4" s="10"/>
      <c r="M4" s="90">
        <v>-1.8803000000000001</v>
      </c>
      <c r="N4" s="17"/>
    </row>
    <row r="5" spans="1:14" x14ac:dyDescent="0.2">
      <c r="A5" s="2" t="s">
        <v>219</v>
      </c>
      <c r="B5" s="20" t="s">
        <v>126</v>
      </c>
      <c r="C5" s="43">
        <v>44256</v>
      </c>
      <c r="D5" s="140" t="s">
        <v>21</v>
      </c>
      <c r="E5" s="143"/>
      <c r="F5" s="141">
        <v>150939</v>
      </c>
      <c r="G5" s="141">
        <v>521723</v>
      </c>
      <c r="H5" s="148">
        <v>1.5961000000000001</v>
      </c>
      <c r="I5" s="144"/>
      <c r="J5" s="144"/>
      <c r="K5" s="144"/>
      <c r="L5" s="144"/>
      <c r="M5" s="145">
        <v>1.5961000000000001</v>
      </c>
      <c r="N5" s="17"/>
    </row>
    <row r="6" spans="1:14" x14ac:dyDescent="0.2">
      <c r="A6" s="2" t="s">
        <v>219</v>
      </c>
      <c r="B6" s="20" t="s">
        <v>126</v>
      </c>
      <c r="C6" s="43">
        <v>44285</v>
      </c>
      <c r="D6" s="2" t="s">
        <v>58</v>
      </c>
      <c r="E6" s="7">
        <v>14743</v>
      </c>
      <c r="F6"/>
      <c r="G6"/>
      <c r="H6" s="53">
        <v>-1.4865999999999999</v>
      </c>
      <c r="I6" s="33"/>
      <c r="J6" s="14"/>
      <c r="K6" s="24">
        <v>0</v>
      </c>
      <c r="L6" s="93">
        <v>-909</v>
      </c>
      <c r="M6" s="50" t="s">
        <v>224</v>
      </c>
      <c r="N6" s="17"/>
    </row>
    <row r="7" spans="1:14" x14ac:dyDescent="0.2">
      <c r="A7" s="2" t="s">
        <v>219</v>
      </c>
      <c r="B7" s="20" t="s">
        <v>126</v>
      </c>
      <c r="C7" s="43">
        <v>44285</v>
      </c>
      <c r="D7" s="2" t="s">
        <v>46</v>
      </c>
      <c r="E7" s="7">
        <v>13390037</v>
      </c>
      <c r="F7"/>
      <c r="G7"/>
      <c r="H7" s="37">
        <v>-1.5535000000000001</v>
      </c>
      <c r="I7" s="10"/>
      <c r="J7" s="10"/>
      <c r="K7" s="10"/>
      <c r="L7" s="10"/>
      <c r="M7" s="50" t="s">
        <v>224</v>
      </c>
      <c r="N7" s="17"/>
    </row>
    <row r="8" spans="1:14" x14ac:dyDescent="0.2">
      <c r="A8" s="2" t="s">
        <v>219</v>
      </c>
      <c r="B8" s="20" t="s">
        <v>126</v>
      </c>
      <c r="C8" s="43">
        <v>44285</v>
      </c>
      <c r="D8" s="2" t="s">
        <v>23</v>
      </c>
      <c r="E8" s="7"/>
      <c r="F8"/>
      <c r="G8"/>
      <c r="H8" s="159">
        <v>-1.8803000000000001</v>
      </c>
      <c r="I8" s="10"/>
      <c r="J8" s="10"/>
      <c r="K8" s="10"/>
      <c r="L8" s="10"/>
      <c r="M8" s="90">
        <v>-1.93</v>
      </c>
    </row>
    <row r="9" spans="1:14" x14ac:dyDescent="0.2">
      <c r="A9" s="2" t="s">
        <v>219</v>
      </c>
      <c r="B9" s="20" t="s">
        <v>126</v>
      </c>
      <c r="C9" s="43">
        <v>44285</v>
      </c>
      <c r="D9" s="140" t="s">
        <v>21</v>
      </c>
      <c r="E9" s="143"/>
      <c r="F9" s="141">
        <v>150939</v>
      </c>
      <c r="G9" s="141">
        <v>521723</v>
      </c>
      <c r="H9" s="148">
        <v>1.5961000000000001</v>
      </c>
      <c r="I9" s="144"/>
      <c r="J9" s="144"/>
      <c r="K9" s="144"/>
      <c r="L9" s="144"/>
      <c r="M9" s="145">
        <v>1.57</v>
      </c>
      <c r="N9" s="17"/>
    </row>
    <row r="10" spans="1:14" x14ac:dyDescent="0.2">
      <c r="A10"/>
      <c r="B10"/>
      <c r="C10" s="5"/>
      <c r="D10" s="41"/>
      <c r="E10" s="7"/>
      <c r="F10"/>
      <c r="G10"/>
      <c r="H10" s="19"/>
      <c r="I10" s="10"/>
      <c r="J10" s="10"/>
      <c r="K10" s="10"/>
      <c r="L10" s="10"/>
      <c r="M10" s="86"/>
      <c r="N10" s="17"/>
    </row>
    <row r="11" spans="1:14" x14ac:dyDescent="0.2">
      <c r="A11"/>
      <c r="B11"/>
      <c r="C11" s="40"/>
      <c r="D11" s="41"/>
      <c r="E11" s="42"/>
      <c r="F11" s="20"/>
      <c r="G11" s="20"/>
      <c r="H11" s="19"/>
      <c r="I11" s="10"/>
      <c r="J11" s="10"/>
      <c r="K11" s="10"/>
      <c r="L11" s="10"/>
      <c r="M11" s="81"/>
    </row>
    <row r="12" spans="1:14" x14ac:dyDescent="0.2">
      <c r="A12"/>
      <c r="B12"/>
      <c r="C12" s="40"/>
      <c r="D12" s="41"/>
      <c r="E12" s="7"/>
      <c r="F12" s="20"/>
      <c r="G12" s="20"/>
      <c r="H12" s="19"/>
      <c r="I12" s="23"/>
      <c r="J12" s="14"/>
      <c r="K12" s="24"/>
      <c r="L12" s="10"/>
      <c r="M12" s="86"/>
    </row>
    <row r="13" spans="1:14" x14ac:dyDescent="0.2">
      <c r="A13"/>
      <c r="B13"/>
      <c r="C13" s="40"/>
      <c r="D13" s="41"/>
      <c r="E13" s="42"/>
      <c r="F13"/>
      <c r="G13"/>
      <c r="H13" s="19"/>
      <c r="I13" s="10"/>
      <c r="J13" s="10"/>
      <c r="K13" s="10"/>
      <c r="L13" s="10"/>
      <c r="M13" s="51"/>
    </row>
    <row r="14" spans="1:14" x14ac:dyDescent="0.2">
      <c r="A14"/>
      <c r="B14"/>
      <c r="C14" s="40"/>
      <c r="D14" s="41"/>
      <c r="E14" s="7"/>
      <c r="F14" s="20"/>
      <c r="G14" s="20"/>
      <c r="H14" s="19"/>
      <c r="I14" s="10"/>
      <c r="J14" s="10"/>
      <c r="K14" s="10"/>
      <c r="L14" s="10"/>
      <c r="M14" s="51"/>
    </row>
    <row r="15" spans="1:14" x14ac:dyDescent="0.2">
      <c r="A15"/>
      <c r="B15"/>
      <c r="C15" s="40"/>
      <c r="D15" s="41"/>
      <c r="E15" s="42"/>
      <c r="F15"/>
      <c r="G15"/>
      <c r="H15" s="19"/>
      <c r="I15" s="10"/>
      <c r="J15" s="10"/>
      <c r="K15" s="10"/>
      <c r="L15" s="10"/>
      <c r="M15" s="51"/>
    </row>
    <row r="16" spans="1:14" x14ac:dyDescent="0.2">
      <c r="A16"/>
      <c r="B16"/>
      <c r="C16" s="40"/>
      <c r="D16" s="41"/>
      <c r="E16" s="7"/>
      <c r="F16" s="20"/>
      <c r="G16" s="20"/>
      <c r="H16" s="19"/>
      <c r="I16" s="10"/>
      <c r="J16" s="10"/>
      <c r="K16" s="10"/>
      <c r="L16" s="10"/>
      <c r="M16" s="51"/>
    </row>
    <row r="17" spans="1:13" x14ac:dyDescent="0.2">
      <c r="A17"/>
      <c r="B17"/>
      <c r="C17" s="40"/>
      <c r="D17" s="41"/>
      <c r="E17" s="42"/>
      <c r="F17"/>
      <c r="G17"/>
      <c r="H17" s="19"/>
      <c r="I17" s="10"/>
      <c r="J17" s="10"/>
      <c r="K17" s="10"/>
      <c r="L17" s="10"/>
      <c r="M17" s="51"/>
    </row>
    <row r="18" spans="1:13" x14ac:dyDescent="0.2">
      <c r="A18"/>
      <c r="B18"/>
      <c r="C18" s="40"/>
      <c r="D18" s="41"/>
      <c r="E18" s="7"/>
      <c r="F18" s="20"/>
      <c r="G18" s="20"/>
      <c r="H18" s="19"/>
      <c r="I18" s="10"/>
      <c r="J18" s="10"/>
      <c r="K18" s="10"/>
      <c r="L18" s="10"/>
      <c r="M18" s="51"/>
    </row>
    <row r="19" spans="1:13" x14ac:dyDescent="0.2">
      <c r="A19"/>
      <c r="B19"/>
      <c r="C19" s="40"/>
      <c r="D19" s="41"/>
      <c r="E19" s="42"/>
      <c r="F19" s="20"/>
      <c r="G19" s="20"/>
      <c r="H19" s="19"/>
      <c r="I19" s="10"/>
      <c r="J19" s="10"/>
      <c r="K19" s="10"/>
      <c r="L19" s="10"/>
      <c r="M19" s="51"/>
    </row>
    <row r="20" spans="1:13" x14ac:dyDescent="0.2">
      <c r="A20"/>
      <c r="B20"/>
      <c r="C20" s="40"/>
      <c r="D20" s="41"/>
      <c r="E20" s="7"/>
      <c r="F20" s="20"/>
      <c r="G20" s="20"/>
      <c r="H20" s="19"/>
      <c r="I20" s="23"/>
      <c r="J20" s="14"/>
      <c r="K20" s="24"/>
      <c r="L20" s="10"/>
      <c r="M20" s="51"/>
    </row>
    <row r="21" spans="1:13" x14ac:dyDescent="0.2">
      <c r="A21"/>
      <c r="B21"/>
      <c r="C21" s="40"/>
      <c r="D21" s="41"/>
      <c r="E21" s="42"/>
      <c r="F21"/>
      <c r="G21"/>
      <c r="H21" s="19"/>
      <c r="I21" s="10"/>
      <c r="J21" s="10"/>
      <c r="K21" s="10"/>
      <c r="L21" s="10"/>
      <c r="M21" s="45"/>
    </row>
    <row r="22" spans="1:13" x14ac:dyDescent="0.2">
      <c r="A22"/>
      <c r="B22"/>
      <c r="C22" s="40"/>
      <c r="D22" s="41"/>
      <c r="E22" s="7"/>
      <c r="F22" s="20"/>
      <c r="G22" s="20"/>
      <c r="H22" s="19"/>
      <c r="I22" s="10"/>
      <c r="J22" s="10"/>
      <c r="K22" s="10"/>
      <c r="L22" s="10"/>
      <c r="M22" s="45"/>
    </row>
    <row r="23" spans="1:13" x14ac:dyDescent="0.2">
      <c r="A23"/>
      <c r="B23"/>
      <c r="C23" s="40"/>
      <c r="D23" s="41"/>
      <c r="E23" s="42"/>
      <c r="F23" s="20"/>
      <c r="G23" s="20"/>
      <c r="H23" s="19"/>
      <c r="I23" s="10"/>
      <c r="J23" s="10"/>
      <c r="K23" s="10"/>
      <c r="L23" s="10"/>
      <c r="M23" s="46"/>
    </row>
    <row r="24" spans="1:13" x14ac:dyDescent="0.2">
      <c r="A24"/>
      <c r="B24"/>
      <c r="C24" s="40"/>
      <c r="D24" s="41"/>
      <c r="E24" s="7"/>
      <c r="F24" s="20"/>
      <c r="G24" s="20"/>
      <c r="H24" s="19"/>
      <c r="I24" s="23"/>
      <c r="J24" s="14"/>
      <c r="K24" s="24"/>
      <c r="L24" s="10"/>
      <c r="M24" s="45"/>
    </row>
    <row r="25" spans="1:13" x14ac:dyDescent="0.2">
      <c r="A25"/>
      <c r="B25"/>
      <c r="C25" s="40"/>
      <c r="D25" s="41"/>
      <c r="E25" s="42"/>
      <c r="F25"/>
      <c r="G25"/>
      <c r="H25" s="19"/>
      <c r="I25" s="10"/>
      <c r="J25" s="10"/>
      <c r="K25" s="10"/>
      <c r="L25" s="10"/>
      <c r="M25" s="45"/>
    </row>
    <row r="26" spans="1:13" x14ac:dyDescent="0.2">
      <c r="A26"/>
      <c r="B26"/>
      <c r="C26" s="40"/>
      <c r="D26" s="41"/>
      <c r="E26" s="7"/>
      <c r="F26" s="20"/>
      <c r="G26" s="20"/>
      <c r="H26" s="19"/>
      <c r="I26" s="10"/>
      <c r="J26" s="10"/>
      <c r="K26" s="10"/>
      <c r="L26" s="10"/>
      <c r="M26" s="45"/>
    </row>
    <row r="27" spans="1:13" x14ac:dyDescent="0.2">
      <c r="A27"/>
      <c r="B27"/>
      <c r="C27" s="40"/>
      <c r="D27" s="41"/>
      <c r="E27" s="42"/>
      <c r="F27" s="20"/>
      <c r="G27" s="20"/>
      <c r="H27" s="19"/>
      <c r="I27" s="10"/>
      <c r="J27" s="10"/>
      <c r="K27" s="10"/>
      <c r="L27" s="10"/>
      <c r="M27" s="46"/>
    </row>
    <row r="28" spans="1:13" x14ac:dyDescent="0.2">
      <c r="A28"/>
      <c r="B28"/>
      <c r="C28" s="40"/>
      <c r="D28" s="41"/>
      <c r="E28" s="7"/>
      <c r="F28" s="20"/>
      <c r="G28" s="20"/>
      <c r="H28" s="19"/>
      <c r="I28" s="23"/>
      <c r="J28" s="14"/>
      <c r="K28" s="24"/>
      <c r="L28" s="10"/>
      <c r="M28" s="45"/>
    </row>
    <row r="29" spans="1:13" x14ac:dyDescent="0.2">
      <c r="A29"/>
      <c r="B29"/>
      <c r="C29" s="40"/>
      <c r="D29" s="41"/>
      <c r="E29" s="42"/>
      <c r="F29"/>
      <c r="G29"/>
      <c r="H29" s="19"/>
      <c r="I29" s="10"/>
      <c r="J29" s="10"/>
      <c r="K29" s="10"/>
      <c r="L29" s="10"/>
      <c r="M29" s="45"/>
    </row>
    <row r="30" spans="1:13" x14ac:dyDescent="0.2">
      <c r="A30"/>
      <c r="B30"/>
      <c r="C30" s="40"/>
      <c r="D30" s="41"/>
      <c r="E30" s="7"/>
      <c r="F30" s="20"/>
      <c r="G30" s="20"/>
      <c r="H30" s="19"/>
      <c r="I30" s="10"/>
      <c r="J30" s="10"/>
      <c r="K30" s="10"/>
      <c r="L30" s="10"/>
      <c r="M30" s="45"/>
    </row>
    <row r="31" spans="1:13" x14ac:dyDescent="0.2">
      <c r="A31"/>
      <c r="B31"/>
      <c r="C31" s="40"/>
      <c r="D31" s="41"/>
      <c r="E31" s="42"/>
      <c r="F31" s="20"/>
      <c r="G31" s="20"/>
      <c r="H31" s="10"/>
      <c r="I31" s="10"/>
      <c r="J31" s="10"/>
      <c r="K31" s="10"/>
      <c r="L31" s="10"/>
      <c r="M31" s="51"/>
    </row>
    <row r="32" spans="1:13" x14ac:dyDescent="0.2">
      <c r="A32"/>
      <c r="B32"/>
      <c r="C32" s="40"/>
      <c r="D32" s="41"/>
      <c r="E32" s="7"/>
      <c r="F32" s="20"/>
      <c r="G32" s="20"/>
      <c r="H32" s="19"/>
      <c r="I32" s="23"/>
      <c r="J32" s="14"/>
      <c r="K32" s="24"/>
      <c r="L32" s="10"/>
      <c r="M32" s="51"/>
    </row>
    <row r="33" spans="1:13" x14ac:dyDescent="0.2">
      <c r="A33"/>
      <c r="B33"/>
      <c r="C33" s="40"/>
      <c r="D33" s="41"/>
      <c r="E33" s="42"/>
      <c r="F33"/>
      <c r="G33"/>
      <c r="H33" s="19"/>
      <c r="I33" s="10"/>
      <c r="J33" s="10"/>
      <c r="K33" s="10"/>
      <c r="L33" s="10"/>
      <c r="M33" s="45"/>
    </row>
    <row r="34" spans="1:13" x14ac:dyDescent="0.2">
      <c r="A34"/>
      <c r="B34"/>
      <c r="C34" s="40"/>
      <c r="D34" s="41"/>
      <c r="E34" s="7"/>
      <c r="F34" s="20"/>
      <c r="G34" s="20"/>
      <c r="H34" s="19"/>
      <c r="I34" s="10"/>
      <c r="J34" s="10"/>
      <c r="K34" s="10"/>
      <c r="L34" s="10"/>
      <c r="M34" s="45"/>
    </row>
    <row r="35" spans="1:13" x14ac:dyDescent="0.2">
      <c r="A35"/>
      <c r="B35"/>
      <c r="C35" s="40"/>
      <c r="D35" s="41"/>
      <c r="E35" s="42"/>
      <c r="F35" s="20"/>
      <c r="G35" s="20"/>
      <c r="H35" s="55"/>
      <c r="I35" s="10"/>
      <c r="J35" s="10"/>
      <c r="K35" s="10"/>
      <c r="L35" s="10"/>
      <c r="M35" s="54"/>
    </row>
    <row r="36" spans="1:13" x14ac:dyDescent="0.2">
      <c r="A36"/>
      <c r="B36"/>
      <c r="C36" s="40"/>
      <c r="D36" s="41"/>
      <c r="E36" s="7"/>
      <c r="F36" s="20"/>
      <c r="G36" s="20"/>
      <c r="H36" s="56"/>
      <c r="I36" s="23"/>
      <c r="J36" s="14"/>
      <c r="K36" s="24"/>
      <c r="L36" s="10"/>
      <c r="M36" s="44"/>
    </row>
    <row r="37" spans="1:13" x14ac:dyDescent="0.2">
      <c r="A37"/>
      <c r="B37"/>
      <c r="C37" s="40"/>
      <c r="D37" s="41"/>
      <c r="E37" s="42"/>
      <c r="F37" s="20"/>
      <c r="G37" s="20"/>
      <c r="H37" s="56"/>
      <c r="I37" s="10"/>
      <c r="J37" s="10"/>
      <c r="K37" s="10"/>
      <c r="L37" s="10"/>
      <c r="M37" s="44"/>
    </row>
    <row r="38" spans="1:13" x14ac:dyDescent="0.2">
      <c r="A38"/>
      <c r="B38"/>
      <c r="C38" s="40"/>
      <c r="D38" s="41"/>
      <c r="E38" s="7"/>
      <c r="F38" s="20"/>
      <c r="G38" s="20"/>
      <c r="H38" s="56"/>
      <c r="I38" s="10"/>
      <c r="J38" s="10"/>
      <c r="K38" s="10"/>
      <c r="L38" s="10"/>
      <c r="M38" s="44"/>
    </row>
    <row r="39" spans="1:13" x14ac:dyDescent="0.2">
      <c r="A39"/>
      <c r="B39"/>
      <c r="C39" s="40"/>
      <c r="D39" s="41"/>
      <c r="E39" s="42"/>
      <c r="F39" s="20"/>
      <c r="G39" s="20"/>
      <c r="H39" s="55"/>
      <c r="I39" s="10"/>
      <c r="J39" s="10"/>
      <c r="K39" s="10"/>
      <c r="L39" s="10"/>
      <c r="M39" s="54"/>
    </row>
    <row r="40" spans="1:13" x14ac:dyDescent="0.2">
      <c r="A40"/>
      <c r="B40"/>
      <c r="C40" s="40"/>
      <c r="D40" s="41"/>
      <c r="E40" s="7"/>
      <c r="F40" s="20"/>
      <c r="G40" s="20"/>
      <c r="H40" s="56"/>
      <c r="I40" s="23"/>
      <c r="J40" s="14"/>
      <c r="K40" s="24"/>
      <c r="L40" s="10"/>
      <c r="M40" s="44"/>
    </row>
    <row r="41" spans="1:13" x14ac:dyDescent="0.2">
      <c r="A41"/>
      <c r="B41"/>
      <c r="C41" s="40"/>
      <c r="D41" s="41"/>
      <c r="E41" s="42"/>
      <c r="F41" s="20"/>
      <c r="G41" s="20"/>
      <c r="H41" s="56"/>
      <c r="I41" s="10"/>
      <c r="J41" s="10"/>
      <c r="K41" s="10"/>
      <c r="L41" s="10"/>
      <c r="M41" s="44"/>
    </row>
    <row r="42" spans="1:13" x14ac:dyDescent="0.2">
      <c r="A42"/>
      <c r="B42"/>
      <c r="C42" s="40"/>
      <c r="D42" s="41"/>
      <c r="E42" s="7"/>
      <c r="F42" s="20"/>
      <c r="G42" s="20"/>
      <c r="H42" s="56"/>
      <c r="I42" s="10"/>
      <c r="J42" s="10"/>
      <c r="K42" s="10"/>
      <c r="L42" s="10"/>
      <c r="M42" s="44"/>
    </row>
    <row r="43" spans="1:13" x14ac:dyDescent="0.2">
      <c r="A43"/>
      <c r="B43"/>
      <c r="C43" s="40"/>
      <c r="D43" s="41"/>
      <c r="E43" s="42"/>
      <c r="F43" s="20"/>
      <c r="G43" s="20"/>
      <c r="H43" s="55"/>
      <c r="I43" s="10"/>
      <c r="J43" s="10"/>
      <c r="K43" s="10"/>
      <c r="L43" s="10"/>
      <c r="M43" s="54"/>
    </row>
    <row r="44" spans="1:13" x14ac:dyDescent="0.2">
      <c r="A44"/>
      <c r="B44"/>
      <c r="C44" s="40"/>
      <c r="D44" s="41"/>
      <c r="E44" s="7"/>
      <c r="F44" s="20"/>
      <c r="G44" s="20"/>
      <c r="H44" s="56"/>
      <c r="I44" s="23"/>
      <c r="J44" s="14"/>
      <c r="K44" s="24"/>
      <c r="L44" s="10"/>
      <c r="M44" s="44"/>
    </row>
    <row r="45" spans="1:13" x14ac:dyDescent="0.2">
      <c r="A45"/>
      <c r="B45"/>
      <c r="C45" s="40"/>
      <c r="D45" s="41"/>
      <c r="E45" s="42"/>
      <c r="F45" s="20"/>
      <c r="G45" s="20"/>
      <c r="H45" s="56"/>
      <c r="I45" s="10"/>
      <c r="J45" s="10"/>
      <c r="K45" s="10"/>
      <c r="L45" s="10"/>
      <c r="M45" s="44"/>
    </row>
    <row r="46" spans="1:13" x14ac:dyDescent="0.2">
      <c r="A46"/>
      <c r="B46"/>
      <c r="C46" s="40"/>
      <c r="D46" s="41"/>
      <c r="E46" s="7"/>
      <c r="F46" s="20"/>
      <c r="G46" s="20"/>
      <c r="H46" s="56"/>
      <c r="I46" s="10"/>
      <c r="J46" s="10"/>
      <c r="K46" s="10"/>
      <c r="L46" s="10"/>
      <c r="M46" s="44"/>
    </row>
    <row r="47" spans="1:13" x14ac:dyDescent="0.2">
      <c r="A47"/>
      <c r="B47"/>
      <c r="C47" s="40"/>
      <c r="D47" s="41"/>
      <c r="E47" s="42"/>
      <c r="F47" s="20"/>
      <c r="G47" s="20"/>
      <c r="H47" s="55"/>
      <c r="I47" s="10"/>
      <c r="J47" s="10"/>
      <c r="K47" s="10"/>
      <c r="L47" s="10"/>
      <c r="M47" s="89"/>
    </row>
    <row r="48" spans="1:13" x14ac:dyDescent="0.2">
      <c r="A48"/>
      <c r="B48"/>
      <c r="C48" s="40"/>
      <c r="D48" s="41"/>
      <c r="E48" s="7"/>
      <c r="F48" s="20"/>
      <c r="G48" s="20"/>
      <c r="H48" s="56"/>
      <c r="I48" s="23"/>
      <c r="J48" s="14"/>
      <c r="K48" s="24"/>
      <c r="L48" s="10"/>
      <c r="M48" s="44"/>
    </row>
    <row r="49" spans="1:14" x14ac:dyDescent="0.2">
      <c r="A49"/>
      <c r="B49"/>
      <c r="C49" s="40"/>
      <c r="D49" s="41"/>
      <c r="E49" s="42"/>
      <c r="F49" s="20"/>
      <c r="G49" s="20"/>
      <c r="H49" s="56"/>
      <c r="I49" s="10"/>
      <c r="J49" s="10"/>
      <c r="K49" s="10"/>
      <c r="L49" s="10"/>
      <c r="M49" s="44"/>
    </row>
    <row r="50" spans="1:14" x14ac:dyDescent="0.2">
      <c r="A50"/>
      <c r="B50"/>
      <c r="C50" s="40"/>
      <c r="D50" s="41"/>
      <c r="E50" s="7"/>
      <c r="F50" s="20"/>
      <c r="G50" s="20"/>
      <c r="H50" s="56"/>
      <c r="I50" s="10"/>
      <c r="J50" s="10"/>
      <c r="K50" s="10"/>
      <c r="L50" s="10"/>
      <c r="M50" s="44"/>
    </row>
    <row r="51" spans="1:14" x14ac:dyDescent="0.2">
      <c r="A51"/>
      <c r="B51"/>
      <c r="C51" s="40"/>
      <c r="D51" s="41"/>
      <c r="E51" s="42"/>
      <c r="F51" s="20"/>
      <c r="G51" s="20"/>
      <c r="H51" s="56"/>
      <c r="I51" s="10"/>
      <c r="J51" s="10"/>
      <c r="K51" s="10"/>
      <c r="L51" s="10"/>
      <c r="M51" s="54"/>
    </row>
    <row r="52" spans="1:14" x14ac:dyDescent="0.2">
      <c r="A52"/>
      <c r="B52"/>
      <c r="C52" s="40"/>
      <c r="D52" s="41"/>
      <c r="E52" s="7"/>
      <c r="F52" s="20"/>
      <c r="G52" s="20"/>
      <c r="H52" s="56"/>
      <c r="I52" s="23"/>
      <c r="J52" s="14"/>
      <c r="K52" s="24"/>
      <c r="L52" s="10"/>
      <c r="M52" s="44"/>
    </row>
    <row r="53" spans="1:14" x14ac:dyDescent="0.2">
      <c r="A53"/>
      <c r="B53"/>
      <c r="C53" s="40"/>
      <c r="D53" s="41"/>
      <c r="E53" s="42"/>
      <c r="F53" s="20"/>
      <c r="G53" s="20"/>
      <c r="H53" s="56"/>
      <c r="I53" s="10"/>
      <c r="J53" s="10"/>
      <c r="K53" s="10"/>
      <c r="L53" s="10"/>
      <c r="M53" s="44"/>
    </row>
    <row r="54" spans="1:14" x14ac:dyDescent="0.2">
      <c r="A54"/>
      <c r="B54"/>
      <c r="C54" s="40"/>
      <c r="D54" s="41"/>
      <c r="E54" s="7"/>
      <c r="F54" s="20"/>
      <c r="G54" s="20"/>
      <c r="H54" s="56"/>
      <c r="I54" s="10"/>
      <c r="J54" s="10"/>
      <c r="K54" s="10"/>
      <c r="L54" s="10"/>
      <c r="M54" s="102"/>
    </row>
    <row r="55" spans="1:14" s="39" customFormat="1" x14ac:dyDescent="0.2">
      <c r="A55" s="20"/>
      <c r="B55" s="20"/>
      <c r="C55" s="40"/>
      <c r="D55" s="41"/>
      <c r="E55" s="42"/>
      <c r="F55" s="20"/>
      <c r="G55" s="20"/>
      <c r="H55" s="56"/>
      <c r="I55" s="19"/>
      <c r="J55" s="19"/>
      <c r="K55" s="19"/>
      <c r="L55" s="19"/>
      <c r="M55" s="44"/>
      <c r="N55" s="60"/>
    </row>
    <row r="56" spans="1:14" s="39" customFormat="1" x14ac:dyDescent="0.2">
      <c r="A56" s="20"/>
      <c r="B56" s="20"/>
      <c r="C56" s="40"/>
      <c r="D56" s="41"/>
      <c r="E56" s="42"/>
      <c r="F56" s="20"/>
      <c r="G56" s="20"/>
      <c r="H56" s="56"/>
      <c r="I56" s="35"/>
      <c r="J56" s="60"/>
      <c r="K56" s="84"/>
      <c r="L56" s="19"/>
      <c r="M56" s="44"/>
      <c r="N56" s="60"/>
    </row>
    <row r="57" spans="1:14" s="39" customFormat="1" x14ac:dyDescent="0.2">
      <c r="A57" s="20"/>
      <c r="B57" s="20"/>
      <c r="C57" s="40"/>
      <c r="D57" s="41"/>
      <c r="E57" s="42"/>
      <c r="F57" s="20"/>
      <c r="G57" s="20"/>
      <c r="H57" s="56"/>
      <c r="I57" s="19"/>
      <c r="J57" s="19"/>
      <c r="K57" s="19"/>
      <c r="L57" s="19"/>
      <c r="M57" s="44"/>
      <c r="N57" s="60"/>
    </row>
    <row r="58" spans="1:14" s="39" customFormat="1" x14ac:dyDescent="0.2">
      <c r="A58" s="20"/>
      <c r="B58" s="20"/>
      <c r="C58" s="40"/>
      <c r="D58" s="41"/>
      <c r="E58" s="42"/>
      <c r="F58" s="20"/>
      <c r="G58" s="20"/>
      <c r="H58" s="56"/>
      <c r="I58" s="19"/>
      <c r="J58" s="19"/>
      <c r="K58" s="19"/>
      <c r="L58" s="19"/>
      <c r="M58" s="44"/>
      <c r="N58" s="60"/>
    </row>
    <row r="59" spans="1:14" x14ac:dyDescent="0.2">
      <c r="A59" s="20"/>
      <c r="B59" s="20"/>
      <c r="C59" s="40"/>
      <c r="D59" s="41"/>
      <c r="E59" s="42"/>
      <c r="F59" s="20"/>
      <c r="G59" s="20"/>
      <c r="H59" s="56"/>
      <c r="I59" s="19"/>
      <c r="J59" s="19"/>
      <c r="K59" s="19"/>
      <c r="L59" s="19"/>
      <c r="M59" s="44"/>
    </row>
    <row r="60" spans="1:14" x14ac:dyDescent="0.2">
      <c r="A60" s="20"/>
      <c r="B60" s="20"/>
      <c r="C60" s="40"/>
      <c r="D60" s="41"/>
      <c r="E60" s="42"/>
      <c r="F60" s="20"/>
      <c r="G60" s="20"/>
      <c r="H60" s="56"/>
      <c r="I60" s="35"/>
      <c r="J60" s="60"/>
      <c r="K60" s="84"/>
      <c r="L60" s="19"/>
      <c r="M60" s="50"/>
    </row>
    <row r="61" spans="1:14" x14ac:dyDescent="0.2">
      <c r="A61" s="20"/>
      <c r="B61" s="20"/>
      <c r="C61" s="40"/>
      <c r="D61" s="41"/>
      <c r="E61" s="42"/>
      <c r="F61" s="20"/>
      <c r="G61" s="20"/>
      <c r="H61" s="56"/>
      <c r="I61" s="19"/>
      <c r="J61" s="19"/>
      <c r="K61" s="19"/>
      <c r="L61" s="19"/>
      <c r="M61" s="44"/>
    </row>
    <row r="62" spans="1:14" x14ac:dyDescent="0.2">
      <c r="A62" s="20"/>
      <c r="B62" s="20"/>
      <c r="C62" s="40"/>
      <c r="D62" s="41"/>
      <c r="E62" s="42"/>
      <c r="F62" s="20"/>
      <c r="G62" s="20"/>
      <c r="H62" s="56"/>
      <c r="I62" s="19"/>
      <c r="J62" s="19"/>
      <c r="K62" s="19"/>
      <c r="L62" s="19"/>
      <c r="M62" s="44"/>
    </row>
    <row r="63" spans="1:14" x14ac:dyDescent="0.2">
      <c r="A63" s="20"/>
      <c r="B63" s="20"/>
      <c r="C63" s="40"/>
      <c r="D63" s="41"/>
      <c r="E63" s="42"/>
      <c r="F63" s="20"/>
      <c r="G63" s="20"/>
      <c r="H63" s="56"/>
      <c r="I63" s="19"/>
      <c r="J63" s="19"/>
      <c r="K63" s="19"/>
      <c r="L63" s="19"/>
      <c r="M63" s="44"/>
    </row>
    <row r="64" spans="1:14" x14ac:dyDescent="0.2">
      <c r="A64" s="20"/>
      <c r="B64" s="20"/>
      <c r="C64" s="40"/>
      <c r="D64" s="41"/>
      <c r="E64" s="42"/>
      <c r="F64" s="20"/>
      <c r="G64" s="20"/>
      <c r="H64" s="56"/>
      <c r="I64" s="35"/>
      <c r="J64" s="60"/>
      <c r="K64" s="84"/>
      <c r="L64" s="19"/>
      <c r="M64" s="50"/>
    </row>
    <row r="65" spans="1:13" x14ac:dyDescent="0.2">
      <c r="A65" s="20"/>
      <c r="B65" s="20"/>
      <c r="C65" s="40"/>
      <c r="D65" s="41"/>
      <c r="E65" s="42"/>
      <c r="F65" s="20"/>
      <c r="G65" s="20"/>
      <c r="H65" s="56"/>
      <c r="I65" s="19"/>
      <c r="J65" s="19"/>
      <c r="K65" s="19"/>
      <c r="L65" s="19"/>
      <c r="M65" s="44"/>
    </row>
    <row r="66" spans="1:13" x14ac:dyDescent="0.2">
      <c r="A66" s="20"/>
      <c r="B66" s="20"/>
      <c r="C66" s="40"/>
      <c r="D66" s="41"/>
      <c r="E66" s="42"/>
      <c r="F66" s="20"/>
      <c r="G66" s="20"/>
      <c r="H66" s="56"/>
      <c r="I66" s="19"/>
      <c r="J66" s="19"/>
      <c r="K66" s="19"/>
      <c r="L66" s="19"/>
      <c r="M66" s="44"/>
    </row>
    <row r="67" spans="1:13" x14ac:dyDescent="0.2">
      <c r="A67" s="20"/>
      <c r="B67" s="20"/>
      <c r="C67" s="40"/>
      <c r="D67" s="41"/>
      <c r="E67" s="42"/>
      <c r="F67" s="20"/>
      <c r="G67" s="20"/>
      <c r="H67" s="56"/>
      <c r="I67" s="19"/>
      <c r="J67" s="19"/>
      <c r="K67" s="19"/>
      <c r="L67" s="19"/>
      <c r="M67" s="44"/>
    </row>
    <row r="68" spans="1:13" x14ac:dyDescent="0.2">
      <c r="A68" s="20"/>
      <c r="B68" s="20"/>
      <c r="C68" s="40"/>
      <c r="D68" s="41"/>
      <c r="E68" s="42"/>
      <c r="F68" s="20"/>
      <c r="G68" s="20"/>
      <c r="H68" s="56"/>
      <c r="I68" s="35"/>
      <c r="J68" s="60"/>
      <c r="K68" s="84"/>
      <c r="L68" s="19"/>
      <c r="M68" s="50"/>
    </row>
    <row r="69" spans="1:13" x14ac:dyDescent="0.2">
      <c r="A69" s="20"/>
      <c r="B69" s="20"/>
      <c r="C69" s="40"/>
      <c r="D69" s="41"/>
      <c r="E69" s="42"/>
      <c r="F69" s="20"/>
      <c r="G69" s="20"/>
      <c r="H69" s="56"/>
      <c r="I69" s="19"/>
      <c r="J69" s="19"/>
      <c r="K69" s="19"/>
      <c r="L69" s="19"/>
      <c r="M69" s="44"/>
    </row>
    <row r="70" spans="1:13" x14ac:dyDescent="0.2">
      <c r="A70" s="20"/>
      <c r="B70" s="20"/>
      <c r="C70" s="40"/>
      <c r="D70" s="41"/>
      <c r="E70" s="42"/>
      <c r="F70" s="20"/>
      <c r="G70" s="20"/>
      <c r="H70" s="56"/>
      <c r="I70" s="19"/>
      <c r="J70" s="19"/>
      <c r="K70" s="19"/>
      <c r="L70" s="19"/>
      <c r="M70" s="103"/>
    </row>
    <row r="71" spans="1:13" x14ac:dyDescent="0.2">
      <c r="A71" s="20"/>
      <c r="B71" s="20"/>
      <c r="C71" s="40"/>
      <c r="D71" s="41"/>
      <c r="E71" s="42"/>
      <c r="F71" s="20"/>
      <c r="G71" s="20"/>
      <c r="H71" s="56"/>
      <c r="I71" s="19"/>
      <c r="J71" s="19"/>
      <c r="K71" s="19"/>
      <c r="L71" s="19"/>
      <c r="M71" s="44"/>
    </row>
    <row r="72" spans="1:13" x14ac:dyDescent="0.2">
      <c r="A72" s="20"/>
      <c r="B72" s="20"/>
      <c r="C72" s="40"/>
      <c r="D72" s="41"/>
      <c r="E72" s="42"/>
      <c r="F72" s="20"/>
      <c r="G72" s="20"/>
      <c r="H72" s="56"/>
      <c r="I72" s="35"/>
      <c r="J72" s="60"/>
      <c r="K72" s="84"/>
      <c r="L72" s="19"/>
      <c r="M72" s="50"/>
    </row>
    <row r="73" spans="1:13" x14ac:dyDescent="0.2">
      <c r="A73" s="20"/>
      <c r="B73" s="20"/>
      <c r="C73" s="40"/>
      <c r="D73" s="41"/>
      <c r="E73" s="42"/>
      <c r="F73" s="20"/>
      <c r="G73" s="20"/>
      <c r="H73" s="56"/>
      <c r="I73" s="19"/>
      <c r="J73" s="19"/>
      <c r="K73" s="19"/>
      <c r="L73" s="19"/>
      <c r="M73" s="44"/>
    </row>
    <row r="74" spans="1:13" x14ac:dyDescent="0.2">
      <c r="A74" s="20"/>
      <c r="B74" s="20"/>
      <c r="C74" s="40"/>
      <c r="D74" s="41"/>
      <c r="E74" s="42"/>
      <c r="F74" s="20"/>
      <c r="G74" s="20"/>
      <c r="H74" s="56"/>
      <c r="I74" s="19"/>
      <c r="J74" s="19"/>
      <c r="K74" s="19"/>
      <c r="L74" s="19"/>
      <c r="M74" s="103"/>
    </row>
    <row r="75" spans="1:13" x14ac:dyDescent="0.2">
      <c r="A75"/>
      <c r="B75"/>
      <c r="C75" s="5"/>
      <c r="D75"/>
      <c r="E75" s="7"/>
      <c r="F75"/>
      <c r="G75"/>
      <c r="H75" s="56"/>
      <c r="I75" s="10"/>
      <c r="J75" s="10"/>
      <c r="K75" s="10"/>
      <c r="L75" s="10"/>
      <c r="M75" s="51"/>
    </row>
    <row r="76" spans="1:13" x14ac:dyDescent="0.2">
      <c r="A76"/>
      <c r="B76"/>
      <c r="C76" s="5"/>
      <c r="D76"/>
      <c r="E76" s="7"/>
      <c r="F76"/>
      <c r="G76"/>
      <c r="H76" s="56"/>
      <c r="I76" s="35"/>
      <c r="J76" s="60"/>
      <c r="K76" s="84"/>
      <c r="L76" s="10"/>
      <c r="M76" s="51"/>
    </row>
    <row r="77" spans="1:13" x14ac:dyDescent="0.2">
      <c r="A77"/>
      <c r="B77"/>
      <c r="C77" s="5"/>
      <c r="D77"/>
      <c r="E77" s="7"/>
      <c r="F77"/>
      <c r="G77"/>
      <c r="H77" s="10"/>
      <c r="I77" s="10"/>
      <c r="J77" s="10"/>
      <c r="K77" s="10"/>
      <c r="L77" s="10"/>
      <c r="M77" s="51"/>
    </row>
    <row r="78" spans="1:13" x14ac:dyDescent="0.2">
      <c r="A78"/>
      <c r="B78"/>
      <c r="C78" s="5"/>
      <c r="D78"/>
      <c r="E78" s="7"/>
      <c r="F78"/>
      <c r="G78"/>
      <c r="H78" s="10"/>
      <c r="I78" s="10"/>
      <c r="J78" s="10"/>
      <c r="K78" s="10"/>
      <c r="L78" s="10"/>
      <c r="M78" s="51"/>
    </row>
    <row r="79" spans="1:13" ht="12.75" customHeight="1" x14ac:dyDescent="0.2">
      <c r="A79"/>
      <c r="B79"/>
      <c r="C79" s="5"/>
      <c r="D79"/>
      <c r="E79" s="7"/>
      <c r="F79"/>
      <c r="G79"/>
      <c r="H79" s="56"/>
      <c r="I79" s="10"/>
      <c r="J79" s="10"/>
      <c r="K79" s="10"/>
      <c r="L79" s="10"/>
      <c r="M79" s="51"/>
    </row>
    <row r="80" spans="1:13" ht="12.75" customHeight="1" x14ac:dyDescent="0.2">
      <c r="A80"/>
      <c r="B80"/>
      <c r="C80" s="5"/>
      <c r="D80"/>
      <c r="E80" s="7"/>
      <c r="F80"/>
      <c r="G80"/>
      <c r="H80" s="56"/>
      <c r="I80" s="35"/>
      <c r="J80" s="60"/>
      <c r="K80" s="84"/>
      <c r="L80" s="10"/>
      <c r="M80" s="51"/>
    </row>
    <row r="81" spans="1:13" x14ac:dyDescent="0.2">
      <c r="A81"/>
      <c r="B81"/>
      <c r="C81" s="5"/>
      <c r="D81"/>
      <c r="E81" s="7"/>
      <c r="F81"/>
      <c r="G81"/>
      <c r="H81" s="10"/>
      <c r="I81" s="10"/>
      <c r="J81" s="10"/>
      <c r="K81" s="10"/>
      <c r="L81" s="10"/>
      <c r="M81" s="51"/>
    </row>
    <row r="82" spans="1:13" x14ac:dyDescent="0.2">
      <c r="A82"/>
      <c r="B82"/>
      <c r="C82" s="5"/>
      <c r="D82"/>
      <c r="E82" s="7"/>
      <c r="F82"/>
      <c r="G82"/>
      <c r="H82" s="10"/>
      <c r="I82" s="10"/>
      <c r="J82" s="10"/>
      <c r="K82" s="10"/>
      <c r="L82" s="10"/>
      <c r="M82" s="103"/>
    </row>
    <row r="83" spans="1:13" x14ac:dyDescent="0.2">
      <c r="A83"/>
      <c r="B83"/>
      <c r="C83" s="5"/>
      <c r="D83"/>
      <c r="E83" s="7"/>
      <c r="F83"/>
      <c r="G83"/>
      <c r="H83" s="56"/>
      <c r="I83" s="10"/>
      <c r="J83" s="10"/>
      <c r="K83" s="10"/>
      <c r="L83" s="10"/>
      <c r="M83" s="51"/>
    </row>
    <row r="84" spans="1:13" x14ac:dyDescent="0.2">
      <c r="A84"/>
      <c r="B84"/>
      <c r="C84" s="5"/>
      <c r="D84"/>
      <c r="E84" s="7"/>
      <c r="F84"/>
      <c r="G84"/>
      <c r="H84" s="56"/>
      <c r="I84" s="35"/>
      <c r="J84" s="60"/>
      <c r="K84" s="84"/>
      <c r="L84" s="10"/>
      <c r="M84" s="51"/>
    </row>
    <row r="85" spans="1:13" x14ac:dyDescent="0.2">
      <c r="A85"/>
      <c r="B85"/>
      <c r="C85" s="5"/>
      <c r="D85"/>
      <c r="E85" s="7"/>
      <c r="F85"/>
      <c r="G85"/>
      <c r="H85" s="101"/>
      <c r="I85" s="10"/>
      <c r="J85" s="10"/>
      <c r="K85" s="10"/>
      <c r="L85" s="10"/>
      <c r="M85" s="51"/>
    </row>
    <row r="86" spans="1:13" x14ac:dyDescent="0.2">
      <c r="A86"/>
      <c r="B86"/>
      <c r="C86" s="5"/>
      <c r="D86"/>
      <c r="E86" s="7"/>
      <c r="F86"/>
      <c r="G86"/>
      <c r="H86" s="57"/>
      <c r="I86" s="10"/>
      <c r="J86" s="10"/>
      <c r="K86" s="10"/>
      <c r="L86" s="10"/>
      <c r="M86" s="103"/>
    </row>
    <row r="87" spans="1:13" x14ac:dyDescent="0.2">
      <c r="A87"/>
      <c r="B87"/>
      <c r="C87" s="5"/>
      <c r="D87"/>
      <c r="E87" s="7"/>
      <c r="F87"/>
      <c r="G87"/>
      <c r="H87" s="62"/>
      <c r="I87" s="10"/>
      <c r="J87" s="10"/>
      <c r="K87" s="10"/>
      <c r="L87" s="10"/>
      <c r="M87" s="51"/>
    </row>
    <row r="88" spans="1:13" x14ac:dyDescent="0.2">
      <c r="A88"/>
      <c r="B88"/>
      <c r="C88" s="5"/>
      <c r="D88"/>
      <c r="E88" s="7"/>
      <c r="F88"/>
      <c r="G88"/>
      <c r="H88" s="62"/>
      <c r="I88" s="35"/>
      <c r="J88" s="60"/>
      <c r="K88" s="84"/>
      <c r="L88" s="10"/>
      <c r="M88" s="51"/>
    </row>
    <row r="89" spans="1:13" x14ac:dyDescent="0.2">
      <c r="A89"/>
      <c r="B89"/>
      <c r="C89" s="5"/>
      <c r="D89"/>
      <c r="E89" s="7"/>
      <c r="F89"/>
      <c r="G89"/>
      <c r="H89" s="101"/>
      <c r="I89" s="10"/>
      <c r="J89" s="10"/>
      <c r="K89" s="10"/>
      <c r="L89" s="10"/>
      <c r="M89" s="51"/>
    </row>
    <row r="90" spans="1:13" x14ac:dyDescent="0.2">
      <c r="A90"/>
      <c r="B90"/>
      <c r="C90" s="5"/>
      <c r="D90"/>
      <c r="E90" s="7"/>
      <c r="F90"/>
      <c r="G90"/>
      <c r="H90" s="57"/>
      <c r="I90" s="10"/>
      <c r="J90" s="10"/>
      <c r="K90" s="10"/>
      <c r="L90" s="10"/>
      <c r="M90" s="103"/>
    </row>
    <row r="91" spans="1:13" x14ac:dyDescent="0.2">
      <c r="A91"/>
      <c r="B91"/>
      <c r="C91" s="5"/>
      <c r="D91"/>
      <c r="E91" s="7"/>
      <c r="F91"/>
      <c r="G91"/>
      <c r="H91" s="62"/>
      <c r="I91" s="10"/>
      <c r="J91" s="10"/>
      <c r="K91" s="10"/>
      <c r="L91" s="10"/>
      <c r="M91" s="51"/>
    </row>
    <row r="92" spans="1:13" x14ac:dyDescent="0.2">
      <c r="A92"/>
      <c r="B92"/>
      <c r="C92" s="5"/>
      <c r="D92"/>
      <c r="E92" s="7"/>
      <c r="F92"/>
      <c r="G92"/>
      <c r="H92" s="62"/>
      <c r="I92" s="35"/>
      <c r="J92" s="60"/>
      <c r="K92" s="84"/>
      <c r="L92" s="10"/>
      <c r="M92" s="51"/>
    </row>
    <row r="93" spans="1:13" x14ac:dyDescent="0.2">
      <c r="A93"/>
      <c r="B93"/>
      <c r="C93" s="5"/>
      <c r="D93"/>
      <c r="E93" s="7"/>
      <c r="F93"/>
      <c r="G93"/>
      <c r="H93" s="101"/>
      <c r="I93" s="10"/>
      <c r="J93" s="10"/>
      <c r="K93" s="10"/>
      <c r="L93" s="10"/>
      <c r="M93" s="51"/>
    </row>
    <row r="94" spans="1:13" x14ac:dyDescent="0.2">
      <c r="A94"/>
      <c r="B94"/>
      <c r="C94" s="5"/>
      <c r="D94"/>
      <c r="E94" s="7"/>
      <c r="F94"/>
      <c r="G94"/>
      <c r="H94" s="57"/>
      <c r="I94" s="10"/>
      <c r="J94" s="10"/>
      <c r="K94" s="10"/>
      <c r="L94" s="10"/>
      <c r="M94" s="103"/>
    </row>
    <row r="95" spans="1:13" x14ac:dyDescent="0.2">
      <c r="A95"/>
      <c r="B95"/>
      <c r="C95"/>
      <c r="D95"/>
      <c r="E95" s="7"/>
      <c r="F95"/>
      <c r="G95"/>
      <c r="H95" s="10"/>
      <c r="I95" s="10"/>
      <c r="J95" s="10"/>
      <c r="K95" s="10"/>
      <c r="L95" s="10"/>
      <c r="M95" s="51"/>
    </row>
    <row r="96" spans="1:13" x14ac:dyDescent="0.2">
      <c r="A96"/>
      <c r="B96"/>
      <c r="C96"/>
      <c r="D96"/>
      <c r="E96" s="7"/>
      <c r="F96"/>
      <c r="G96"/>
      <c r="H96" s="10"/>
      <c r="I96" s="10"/>
      <c r="J96" s="10"/>
      <c r="K96" s="10"/>
      <c r="L96" s="10"/>
      <c r="M96" s="51"/>
    </row>
    <row r="97" spans="1:13" x14ac:dyDescent="0.2">
      <c r="A97"/>
      <c r="B97"/>
      <c r="C97"/>
      <c r="D97"/>
      <c r="E97" s="7"/>
      <c r="F97"/>
      <c r="G97"/>
      <c r="H97" s="10"/>
      <c r="I97" s="10"/>
      <c r="J97" s="10"/>
      <c r="K97" s="10"/>
      <c r="L97" s="10"/>
      <c r="M97" s="51"/>
    </row>
    <row r="98" spans="1:13" x14ac:dyDescent="0.2">
      <c r="A98"/>
      <c r="B98"/>
      <c r="C98"/>
      <c r="D98"/>
      <c r="E98" s="7"/>
      <c r="F98"/>
      <c r="G98"/>
      <c r="H98" s="10"/>
      <c r="I98" s="10"/>
      <c r="J98" s="10"/>
      <c r="K98" s="10"/>
      <c r="L98" s="10"/>
      <c r="M98" s="51"/>
    </row>
    <row r="99" spans="1:13" x14ac:dyDescent="0.2">
      <c r="A99"/>
      <c r="B99"/>
      <c r="C99"/>
      <c r="D99"/>
      <c r="E99" s="7"/>
      <c r="F99"/>
      <c r="G99"/>
      <c r="H99" s="10"/>
      <c r="I99" s="10"/>
      <c r="J99" s="10"/>
      <c r="K99" s="10"/>
      <c r="L99" s="10"/>
      <c r="M99" s="51"/>
    </row>
    <row r="100" spans="1:13" x14ac:dyDescent="0.2">
      <c r="A100"/>
      <c r="B100"/>
      <c r="C100"/>
      <c r="D100"/>
      <c r="E100" s="7"/>
      <c r="F100"/>
      <c r="G100"/>
      <c r="H100" s="10"/>
      <c r="I100" s="10"/>
      <c r="J100" s="10"/>
      <c r="K100" s="10"/>
      <c r="L100" s="10"/>
      <c r="M100" s="51"/>
    </row>
    <row r="101" spans="1:13" x14ac:dyDescent="0.2">
      <c r="A101"/>
      <c r="B101"/>
      <c r="C101"/>
      <c r="D101"/>
      <c r="E101" s="7"/>
      <c r="F101"/>
      <c r="G101"/>
      <c r="H101" s="10"/>
      <c r="I101" s="10"/>
      <c r="J101" s="10"/>
      <c r="K101" s="10"/>
      <c r="L101" s="10"/>
      <c r="M101" s="51"/>
    </row>
    <row r="102" spans="1:13" x14ac:dyDescent="0.2">
      <c r="A102"/>
      <c r="B102"/>
      <c r="C102"/>
      <c r="D102"/>
      <c r="E102" s="7"/>
      <c r="F102"/>
      <c r="G102"/>
      <c r="H102" s="10"/>
      <c r="I102" s="10"/>
      <c r="J102" s="10"/>
      <c r="K102" s="10"/>
      <c r="L102" s="10"/>
      <c r="M102" s="51"/>
    </row>
    <row r="103" spans="1:13" x14ac:dyDescent="0.2">
      <c r="A103"/>
      <c r="B103"/>
      <c r="C103"/>
      <c r="D103"/>
      <c r="E103" s="7"/>
      <c r="F103"/>
      <c r="G103"/>
      <c r="H103" s="10"/>
      <c r="I103" s="10"/>
      <c r="J103" s="10"/>
      <c r="K103" s="10"/>
      <c r="L103" s="10"/>
      <c r="M103" s="51"/>
    </row>
    <row r="104" spans="1:13" x14ac:dyDescent="0.2">
      <c r="A104"/>
      <c r="B104"/>
      <c r="C104"/>
      <c r="D104"/>
      <c r="E104" s="7"/>
      <c r="F104"/>
      <c r="G104"/>
      <c r="H104" s="10"/>
      <c r="I104" s="10"/>
      <c r="J104" s="10"/>
      <c r="K104" s="10"/>
      <c r="L104" s="10"/>
      <c r="M104" s="51"/>
    </row>
    <row r="105" spans="1:13" x14ac:dyDescent="0.2">
      <c r="A105"/>
      <c r="B105"/>
      <c r="C105"/>
      <c r="D105"/>
      <c r="E105" s="7"/>
      <c r="F105"/>
      <c r="G105"/>
      <c r="H105" s="10"/>
      <c r="I105" s="10"/>
      <c r="J105" s="10"/>
      <c r="K105" s="10"/>
      <c r="L105" s="10"/>
      <c r="M105" s="51"/>
    </row>
    <row r="106" spans="1:13" x14ac:dyDescent="0.2">
      <c r="A106"/>
      <c r="B106"/>
      <c r="C106"/>
      <c r="D106"/>
      <c r="E106" s="7"/>
      <c r="F106"/>
      <c r="G106"/>
      <c r="H106" s="10"/>
      <c r="I106" s="10"/>
      <c r="J106" s="10"/>
      <c r="K106" s="10"/>
      <c r="L106" s="10"/>
      <c r="M106" s="51"/>
    </row>
    <row r="107" spans="1:13" x14ac:dyDescent="0.2">
      <c r="A107"/>
      <c r="B107"/>
      <c r="C107"/>
      <c r="D107"/>
      <c r="E107" s="7"/>
      <c r="F107"/>
      <c r="G107"/>
      <c r="H107" s="10"/>
      <c r="I107" s="10"/>
      <c r="J107" s="10"/>
      <c r="K107" s="10"/>
      <c r="L107" s="10"/>
      <c r="M107" s="51"/>
    </row>
    <row r="108" spans="1:13" x14ac:dyDescent="0.2">
      <c r="A108"/>
      <c r="B108"/>
      <c r="C108"/>
      <c r="D108"/>
      <c r="E108" s="7"/>
      <c r="F108"/>
      <c r="G108"/>
      <c r="H108" s="10"/>
      <c r="I108" s="10"/>
      <c r="J108" s="10"/>
      <c r="K108" s="10"/>
      <c r="L108" s="10"/>
      <c r="M108" s="51"/>
    </row>
    <row r="109" spans="1:13" x14ac:dyDescent="0.2">
      <c r="A109"/>
      <c r="B109"/>
      <c r="C109"/>
      <c r="D109"/>
      <c r="E109" s="7"/>
      <c r="F109"/>
      <c r="G109"/>
      <c r="H109" s="10"/>
      <c r="I109" s="10"/>
      <c r="J109" s="10"/>
      <c r="K109" s="10"/>
      <c r="L109" s="10"/>
      <c r="M109" s="51"/>
    </row>
    <row r="110" spans="1:13" x14ac:dyDescent="0.2">
      <c r="A110"/>
      <c r="B110"/>
      <c r="C110"/>
      <c r="D110"/>
      <c r="E110" s="7"/>
      <c r="F110"/>
      <c r="G110"/>
      <c r="H110" s="10"/>
      <c r="I110" s="10"/>
      <c r="J110" s="10"/>
      <c r="K110" s="10"/>
      <c r="L110" s="10"/>
      <c r="M110" s="51"/>
    </row>
    <row r="111" spans="1:13" x14ac:dyDescent="0.2">
      <c r="A111"/>
      <c r="B111"/>
      <c r="C111"/>
      <c r="D111"/>
      <c r="E111" s="7"/>
      <c r="F111"/>
      <c r="G111"/>
      <c r="H111" s="10"/>
      <c r="I111" s="10"/>
      <c r="J111" s="10"/>
      <c r="K111" s="10"/>
      <c r="L111" s="10"/>
      <c r="M111" s="51"/>
    </row>
    <row r="112" spans="1:13" x14ac:dyDescent="0.2">
      <c r="A112"/>
      <c r="B112"/>
      <c r="C112"/>
      <c r="D112"/>
      <c r="E112" s="7"/>
      <c r="F112"/>
      <c r="G112"/>
      <c r="H112" s="10"/>
      <c r="I112" s="10"/>
      <c r="J112" s="10"/>
      <c r="K112" s="10"/>
      <c r="L112" s="10"/>
      <c r="M112" s="51"/>
    </row>
    <row r="113" spans="1:13" x14ac:dyDescent="0.2">
      <c r="A113"/>
      <c r="B113"/>
      <c r="C113"/>
      <c r="D113"/>
      <c r="E113" s="7"/>
      <c r="F113"/>
      <c r="G113"/>
      <c r="H113" s="10"/>
      <c r="I113" s="10"/>
      <c r="J113" s="10"/>
      <c r="K113" s="10"/>
      <c r="L113" s="10"/>
      <c r="M113" s="51"/>
    </row>
    <row r="114" spans="1:13" x14ac:dyDescent="0.2">
      <c r="A114"/>
      <c r="B114"/>
      <c r="C114"/>
      <c r="D114"/>
      <c r="E114" s="7"/>
      <c r="F114"/>
      <c r="G114"/>
      <c r="H114" s="10"/>
      <c r="I114" s="10"/>
      <c r="J114" s="10"/>
      <c r="K114" s="10"/>
      <c r="L114" s="10"/>
      <c r="M114" s="51"/>
    </row>
    <row r="115" spans="1:13" x14ac:dyDescent="0.2">
      <c r="A115"/>
      <c r="B115"/>
      <c r="C115"/>
      <c r="D115"/>
      <c r="E115" s="7"/>
      <c r="F115"/>
      <c r="G115"/>
      <c r="H115" s="10"/>
      <c r="I115" s="10"/>
      <c r="J115" s="10"/>
      <c r="K115" s="10"/>
      <c r="L115" s="10"/>
      <c r="M115" s="51"/>
    </row>
    <row r="116" spans="1:13" x14ac:dyDescent="0.2">
      <c r="A116"/>
      <c r="B116"/>
      <c r="C116"/>
      <c r="D116"/>
      <c r="E116" s="7"/>
      <c r="F116"/>
      <c r="G116"/>
      <c r="H116" s="10"/>
      <c r="I116" s="10"/>
      <c r="J116" s="10"/>
      <c r="K116" s="10"/>
      <c r="L116" s="10"/>
      <c r="M116" s="51"/>
    </row>
    <row r="117" spans="1:13" x14ac:dyDescent="0.2">
      <c r="A117"/>
      <c r="B117"/>
      <c r="C117"/>
      <c r="D117"/>
      <c r="E117" s="7"/>
      <c r="F117"/>
      <c r="G117"/>
      <c r="H117" s="10"/>
      <c r="I117" s="10"/>
      <c r="J117" s="10"/>
      <c r="K117" s="10"/>
      <c r="L117" s="10"/>
      <c r="M117" s="51"/>
    </row>
    <row r="118" spans="1:13" x14ac:dyDescent="0.2">
      <c r="A118"/>
      <c r="B118"/>
      <c r="C118"/>
      <c r="D118"/>
      <c r="E118" s="7"/>
      <c r="F118"/>
      <c r="G118"/>
      <c r="H118" s="10"/>
      <c r="I118" s="10"/>
      <c r="J118" s="10"/>
      <c r="K118" s="10"/>
      <c r="L118" s="10"/>
      <c r="M118" s="51"/>
    </row>
    <row r="119" spans="1:13" x14ac:dyDescent="0.2">
      <c r="A119"/>
      <c r="B119"/>
      <c r="C119"/>
      <c r="D119"/>
      <c r="E119" s="7"/>
      <c r="F119"/>
      <c r="G119"/>
      <c r="H119" s="10"/>
      <c r="I119" s="10"/>
      <c r="J119" s="10"/>
      <c r="K119" s="10"/>
      <c r="L119" s="10"/>
      <c r="M119" s="51"/>
    </row>
    <row r="120" spans="1:13" x14ac:dyDescent="0.2">
      <c r="A120"/>
      <c r="B120"/>
      <c r="C120"/>
      <c r="D120"/>
      <c r="E120" s="7"/>
      <c r="F120"/>
      <c r="G120"/>
      <c r="H120" s="10"/>
      <c r="I120" s="10"/>
      <c r="J120" s="10"/>
      <c r="K120" s="10"/>
      <c r="L120" s="10"/>
      <c r="M120" s="51"/>
    </row>
    <row r="121" spans="1:13" x14ac:dyDescent="0.2">
      <c r="A121"/>
      <c r="B121"/>
      <c r="C121"/>
      <c r="D121"/>
      <c r="E121" s="7"/>
      <c r="F121"/>
      <c r="G121"/>
      <c r="H121" s="10"/>
      <c r="I121" s="10"/>
      <c r="J121" s="10"/>
      <c r="K121" s="10"/>
      <c r="L121" s="10"/>
      <c r="M121" s="51"/>
    </row>
    <row r="122" spans="1:13" x14ac:dyDescent="0.2">
      <c r="A122"/>
      <c r="B122"/>
      <c r="C122"/>
      <c r="D122"/>
      <c r="E122" s="7"/>
      <c r="F122"/>
      <c r="G122"/>
      <c r="H122" s="10"/>
      <c r="I122" s="10"/>
      <c r="J122" s="10"/>
      <c r="K122" s="10"/>
      <c r="L122" s="10"/>
      <c r="M122" s="51"/>
    </row>
    <row r="123" spans="1:13" x14ac:dyDescent="0.2">
      <c r="A123"/>
      <c r="B123"/>
      <c r="C123"/>
      <c r="D123"/>
      <c r="E123" s="7"/>
      <c r="F123"/>
      <c r="G123"/>
      <c r="H123" s="10"/>
      <c r="I123" s="10"/>
      <c r="J123" s="10"/>
      <c r="K123" s="10"/>
      <c r="L123" s="10"/>
      <c r="M123" s="51"/>
    </row>
    <row r="124" spans="1:13" x14ac:dyDescent="0.2">
      <c r="A124"/>
      <c r="B124"/>
      <c r="C124"/>
      <c r="D124"/>
      <c r="E124" s="7"/>
      <c r="F124"/>
      <c r="G124"/>
      <c r="H124" s="10"/>
      <c r="I124" s="10"/>
      <c r="J124" s="10"/>
      <c r="K124" s="10"/>
      <c r="L124" s="10"/>
      <c r="M124" s="51"/>
    </row>
    <row r="125" spans="1:13" x14ac:dyDescent="0.2">
      <c r="A125"/>
      <c r="B125"/>
      <c r="C125"/>
      <c r="D125"/>
      <c r="E125" s="7"/>
      <c r="F125"/>
      <c r="G125"/>
      <c r="H125" s="10"/>
      <c r="I125" s="10"/>
      <c r="J125" s="10"/>
      <c r="K125" s="10"/>
      <c r="L125" s="10"/>
      <c r="M125" s="51"/>
    </row>
    <row r="126" spans="1:13" x14ac:dyDescent="0.2">
      <c r="A126"/>
      <c r="B126"/>
      <c r="C126"/>
      <c r="D126"/>
      <c r="E126" s="7"/>
      <c r="F126"/>
      <c r="G126"/>
      <c r="H126" s="10"/>
      <c r="I126" s="10"/>
      <c r="J126" s="10"/>
      <c r="K126" s="10"/>
      <c r="L126" s="10"/>
      <c r="M126" s="51"/>
    </row>
    <row r="127" spans="1:13" x14ac:dyDescent="0.2">
      <c r="A127"/>
      <c r="B127"/>
      <c r="C127"/>
      <c r="D127"/>
      <c r="E127" s="7"/>
      <c r="F127"/>
      <c r="G127"/>
      <c r="H127" s="10"/>
      <c r="I127" s="10"/>
      <c r="J127" s="10"/>
      <c r="K127" s="10"/>
      <c r="L127" s="10"/>
      <c r="M127" s="51"/>
    </row>
    <row r="128" spans="1:13" x14ac:dyDescent="0.2">
      <c r="A128"/>
      <c r="B128"/>
      <c r="C128"/>
      <c r="D128"/>
      <c r="E128" s="7"/>
      <c r="F128"/>
      <c r="G128"/>
      <c r="H128" s="10"/>
      <c r="I128" s="10"/>
      <c r="J128" s="10"/>
      <c r="K128" s="10"/>
      <c r="L128" s="10"/>
      <c r="M128" s="51"/>
    </row>
    <row r="129" spans="1:13" x14ac:dyDescent="0.2">
      <c r="A129"/>
      <c r="B129"/>
      <c r="C129"/>
      <c r="D129"/>
      <c r="E129" s="7"/>
      <c r="F129"/>
      <c r="G129"/>
      <c r="H129" s="10"/>
      <c r="I129" s="10"/>
      <c r="J129" s="10"/>
      <c r="K129" s="10"/>
      <c r="L129" s="10"/>
      <c r="M129" s="51"/>
    </row>
    <row r="130" spans="1:13" x14ac:dyDescent="0.2">
      <c r="A130"/>
      <c r="B130"/>
      <c r="C130"/>
      <c r="D130"/>
      <c r="E130" s="7"/>
      <c r="F130"/>
      <c r="G130"/>
      <c r="H130" s="10"/>
      <c r="I130" s="10"/>
      <c r="J130" s="10"/>
      <c r="K130" s="10"/>
      <c r="L130" s="10"/>
      <c r="M130" s="51"/>
    </row>
    <row r="131" spans="1:13" x14ac:dyDescent="0.2">
      <c r="A131"/>
      <c r="B131"/>
      <c r="C131"/>
      <c r="D131"/>
      <c r="E131" s="7"/>
      <c r="F131"/>
      <c r="G131"/>
      <c r="H131" s="10"/>
      <c r="I131" s="10"/>
      <c r="J131" s="10"/>
      <c r="K131" s="10"/>
      <c r="L131" s="10"/>
      <c r="M131" s="51"/>
    </row>
    <row r="132" spans="1:13" x14ac:dyDescent="0.2">
      <c r="A132"/>
      <c r="B132"/>
      <c r="C132"/>
      <c r="D132"/>
      <c r="E132" s="7"/>
      <c r="F132"/>
      <c r="G132"/>
      <c r="H132" s="10"/>
      <c r="I132" s="10"/>
      <c r="J132" s="10"/>
      <c r="K132" s="10"/>
      <c r="L132" s="10"/>
      <c r="M132" s="51"/>
    </row>
    <row r="133" spans="1:13" x14ac:dyDescent="0.2">
      <c r="A133"/>
      <c r="B133"/>
      <c r="C133"/>
      <c r="D133"/>
      <c r="E133" s="7"/>
      <c r="F133"/>
      <c r="G133"/>
      <c r="H133" s="10"/>
      <c r="I133" s="10"/>
      <c r="J133" s="10"/>
      <c r="K133" s="10"/>
      <c r="L133" s="10"/>
      <c r="M133" s="51"/>
    </row>
    <row r="134" spans="1:13" x14ac:dyDescent="0.2">
      <c r="A134"/>
      <c r="B134"/>
      <c r="C134"/>
      <c r="D134"/>
      <c r="E134" s="7"/>
      <c r="F134"/>
      <c r="G134"/>
      <c r="H134" s="10"/>
      <c r="I134" s="10"/>
      <c r="J134" s="10"/>
      <c r="K134" s="10"/>
      <c r="L134" s="10"/>
      <c r="M134" s="51"/>
    </row>
    <row r="135" spans="1:13" x14ac:dyDescent="0.2">
      <c r="A135"/>
      <c r="B135"/>
      <c r="C135"/>
      <c r="D135"/>
      <c r="E135" s="7"/>
      <c r="F135"/>
      <c r="G135"/>
      <c r="H135" s="10"/>
      <c r="I135" s="10"/>
      <c r="J135" s="10"/>
      <c r="K135" s="10"/>
      <c r="L135" s="10"/>
      <c r="M135" s="51"/>
    </row>
    <row r="136" spans="1:13" x14ac:dyDescent="0.2">
      <c r="A136"/>
      <c r="B136"/>
      <c r="C136"/>
      <c r="D136"/>
      <c r="E136" s="7"/>
      <c r="F136"/>
      <c r="G136"/>
      <c r="H136" s="10"/>
      <c r="I136" s="10"/>
      <c r="J136" s="10"/>
      <c r="K136" s="10"/>
      <c r="L136" s="10"/>
      <c r="M136" s="51"/>
    </row>
    <row r="137" spans="1:13" x14ac:dyDescent="0.2">
      <c r="A137"/>
      <c r="B137"/>
      <c r="C137"/>
      <c r="D137"/>
      <c r="E137" s="7"/>
      <c r="F137"/>
      <c r="G137"/>
      <c r="H137" s="10"/>
      <c r="I137" s="10"/>
      <c r="J137" s="10"/>
      <c r="K137" s="10"/>
      <c r="L137" s="10"/>
      <c r="M137" s="51"/>
    </row>
    <row r="138" spans="1:13" x14ac:dyDescent="0.2">
      <c r="A138"/>
      <c r="B138"/>
      <c r="C138"/>
      <c r="D138"/>
      <c r="E138" s="7"/>
      <c r="F138"/>
      <c r="G138"/>
      <c r="H138" s="10"/>
      <c r="I138" s="10"/>
      <c r="J138" s="10"/>
      <c r="K138" s="10"/>
      <c r="L138" s="10"/>
      <c r="M138" s="51"/>
    </row>
    <row r="139" spans="1:13" x14ac:dyDescent="0.2">
      <c r="A139"/>
      <c r="B139"/>
      <c r="C139"/>
      <c r="D139"/>
      <c r="E139" s="7"/>
      <c r="F139"/>
      <c r="G139"/>
      <c r="H139" s="10"/>
      <c r="I139" s="10"/>
      <c r="J139" s="10"/>
      <c r="K139" s="10"/>
      <c r="L139" s="10"/>
      <c r="M139" s="51"/>
    </row>
    <row r="140" spans="1:13" x14ac:dyDescent="0.2">
      <c r="A140"/>
      <c r="B140"/>
      <c r="C140"/>
      <c r="D140"/>
      <c r="E140" s="7"/>
      <c r="F140"/>
      <c r="G140"/>
      <c r="H140" s="10"/>
      <c r="I140" s="10"/>
      <c r="J140" s="10"/>
      <c r="K140" s="10"/>
      <c r="L140" s="10"/>
      <c r="M140" s="51"/>
    </row>
    <row r="141" spans="1:13" x14ac:dyDescent="0.2">
      <c r="A141"/>
      <c r="B141"/>
      <c r="C141"/>
      <c r="D141"/>
      <c r="E141" s="7"/>
      <c r="F141"/>
      <c r="G141"/>
      <c r="H141" s="10"/>
      <c r="I141" s="10"/>
      <c r="J141" s="10"/>
      <c r="K141" s="10"/>
      <c r="L141" s="10"/>
      <c r="M141" s="51"/>
    </row>
    <row r="142" spans="1:13" x14ac:dyDescent="0.2">
      <c r="A142"/>
      <c r="B142"/>
      <c r="C142"/>
      <c r="D142"/>
      <c r="E142" s="7"/>
      <c r="F142"/>
      <c r="G142"/>
      <c r="H142" s="10"/>
      <c r="I142" s="10"/>
      <c r="J142" s="10"/>
      <c r="K142" s="10"/>
      <c r="L142" s="10"/>
      <c r="M142" s="51"/>
    </row>
    <row r="143" spans="1:13" x14ac:dyDescent="0.2">
      <c r="A143"/>
      <c r="B143"/>
      <c r="C143"/>
      <c r="D143"/>
      <c r="E143" s="7"/>
      <c r="F143"/>
      <c r="G143"/>
      <c r="H143" s="10"/>
      <c r="I143" s="10"/>
      <c r="J143" s="10"/>
      <c r="K143" s="10"/>
      <c r="L143" s="10"/>
      <c r="M143" s="51"/>
    </row>
    <row r="144" spans="1:13" x14ac:dyDescent="0.2">
      <c r="A144"/>
      <c r="B144"/>
      <c r="C144"/>
      <c r="D144"/>
      <c r="E144" s="7"/>
      <c r="F144"/>
      <c r="G144"/>
      <c r="H144" s="10"/>
      <c r="I144" s="10"/>
      <c r="J144" s="10"/>
      <c r="K144" s="10"/>
      <c r="L144" s="10"/>
      <c r="M144" s="51"/>
    </row>
    <row r="145" spans="1:13" x14ac:dyDescent="0.2">
      <c r="A145"/>
      <c r="B145"/>
      <c r="C145"/>
      <c r="D145"/>
      <c r="E145" s="7"/>
      <c r="F145"/>
      <c r="G145"/>
      <c r="H145" s="10"/>
      <c r="I145" s="10"/>
      <c r="J145" s="10"/>
      <c r="K145" s="10"/>
      <c r="L145" s="10"/>
      <c r="M145" s="51"/>
    </row>
    <row r="146" spans="1:13" x14ac:dyDescent="0.2">
      <c r="A146"/>
      <c r="B146"/>
      <c r="C146"/>
      <c r="D146"/>
      <c r="E146" s="7"/>
      <c r="F146"/>
      <c r="G146"/>
      <c r="H146" s="10"/>
      <c r="I146" s="10"/>
      <c r="J146" s="10"/>
      <c r="K146" s="10"/>
      <c r="L146" s="10"/>
      <c r="M146" s="51"/>
    </row>
    <row r="147" spans="1:13" x14ac:dyDescent="0.2">
      <c r="A147"/>
      <c r="B147"/>
      <c r="C147"/>
      <c r="D147"/>
      <c r="E147" s="7"/>
      <c r="F147"/>
      <c r="G147"/>
      <c r="H147" s="10"/>
      <c r="I147" s="10"/>
      <c r="J147" s="10"/>
      <c r="K147" s="10"/>
      <c r="L147" s="10"/>
      <c r="M147" s="51"/>
    </row>
    <row r="148" spans="1:13" x14ac:dyDescent="0.2">
      <c r="A148"/>
      <c r="B148"/>
      <c r="C148"/>
      <c r="D148"/>
      <c r="E148" s="7"/>
      <c r="F148"/>
      <c r="G148"/>
      <c r="H148" s="10"/>
      <c r="I148" s="10"/>
      <c r="J148" s="10"/>
      <c r="K148" s="10"/>
      <c r="L148" s="10"/>
      <c r="M148" s="51"/>
    </row>
    <row r="149" spans="1:13" x14ac:dyDescent="0.2">
      <c r="A149"/>
      <c r="B149"/>
      <c r="C149"/>
      <c r="D149"/>
      <c r="E149" s="7"/>
      <c r="F149"/>
      <c r="G149"/>
      <c r="H149" s="10"/>
      <c r="I149" s="10"/>
      <c r="J149" s="10"/>
      <c r="K149" s="10"/>
      <c r="L149" s="10"/>
      <c r="M149" s="51"/>
    </row>
    <row r="150" spans="1:13" x14ac:dyDescent="0.2">
      <c r="A150"/>
      <c r="B150"/>
      <c r="C150"/>
      <c r="D150"/>
      <c r="E150" s="7"/>
      <c r="F150"/>
      <c r="G150"/>
      <c r="H150" s="10"/>
      <c r="I150" s="10"/>
      <c r="J150" s="10"/>
      <c r="K150" s="10"/>
      <c r="L150" s="10"/>
      <c r="M150" s="51"/>
    </row>
    <row r="151" spans="1:13" x14ac:dyDescent="0.2">
      <c r="A151"/>
      <c r="B151"/>
      <c r="C151"/>
      <c r="D151"/>
      <c r="E151" s="7"/>
      <c r="F151"/>
      <c r="G151"/>
      <c r="H151" s="10"/>
      <c r="I151" s="10"/>
      <c r="J151" s="10"/>
      <c r="K151" s="10"/>
      <c r="L151" s="10"/>
      <c r="M151" s="51"/>
    </row>
    <row r="152" spans="1:13" x14ac:dyDescent="0.2">
      <c r="A152"/>
      <c r="B152"/>
      <c r="C152"/>
      <c r="D152"/>
      <c r="E152" s="7"/>
      <c r="F152"/>
      <c r="G152"/>
      <c r="H152" s="10"/>
      <c r="I152" s="10"/>
      <c r="J152" s="10"/>
      <c r="K152" s="10"/>
      <c r="L152" s="10"/>
      <c r="M152" s="51"/>
    </row>
    <row r="153" spans="1:13" x14ac:dyDescent="0.2">
      <c r="A153"/>
      <c r="B153"/>
      <c r="C153"/>
      <c r="D153"/>
      <c r="E153" s="7"/>
      <c r="F153"/>
      <c r="G153"/>
      <c r="H153" s="10"/>
      <c r="I153" s="10"/>
      <c r="J153" s="10"/>
      <c r="K153" s="10"/>
      <c r="L153" s="10"/>
      <c r="M153" s="51"/>
    </row>
    <row r="154" spans="1:13" x14ac:dyDescent="0.2">
      <c r="A154"/>
      <c r="B154"/>
      <c r="C154"/>
      <c r="D154"/>
      <c r="E154" s="7"/>
      <c r="F154"/>
      <c r="G154"/>
      <c r="H154" s="10"/>
      <c r="I154" s="10"/>
      <c r="J154" s="10"/>
      <c r="K154" s="10"/>
      <c r="L154" s="10"/>
      <c r="M154" s="51"/>
    </row>
    <row r="155" spans="1:13" x14ac:dyDescent="0.2">
      <c r="A155"/>
      <c r="B155"/>
      <c r="C155"/>
      <c r="D155"/>
      <c r="E155" s="7"/>
      <c r="F155"/>
      <c r="G155"/>
      <c r="H155" s="10"/>
      <c r="I155" s="10"/>
      <c r="J155" s="10"/>
      <c r="K155" s="10"/>
      <c r="L155" s="10"/>
      <c r="M155" s="51"/>
    </row>
    <row r="156" spans="1:13" x14ac:dyDescent="0.2">
      <c r="A156"/>
      <c r="B156"/>
      <c r="C156"/>
      <c r="D156"/>
      <c r="E156" s="7"/>
      <c r="F156"/>
      <c r="G156"/>
      <c r="H156" s="10"/>
      <c r="I156" s="10"/>
      <c r="J156" s="10"/>
      <c r="K156" s="10"/>
      <c r="L156" s="10"/>
      <c r="M156" s="51"/>
    </row>
    <row r="157" spans="1:13" x14ac:dyDescent="0.2">
      <c r="A157"/>
      <c r="B157"/>
      <c r="C157"/>
      <c r="D157"/>
      <c r="E157" s="7"/>
      <c r="F157"/>
      <c r="G157"/>
      <c r="H157" s="10"/>
      <c r="I157" s="10"/>
      <c r="J157" s="10"/>
      <c r="K157" s="10"/>
      <c r="L157" s="10"/>
      <c r="M157" s="51"/>
    </row>
    <row r="158" spans="1:13" x14ac:dyDescent="0.2">
      <c r="A158"/>
      <c r="B158"/>
      <c r="C158"/>
      <c r="D158"/>
      <c r="E158" s="7"/>
      <c r="F158"/>
      <c r="G158"/>
      <c r="H158" s="10"/>
      <c r="I158" s="10"/>
      <c r="J158" s="10"/>
      <c r="K158" s="10"/>
      <c r="L158" s="10"/>
      <c r="M158" s="51"/>
    </row>
    <row r="159" spans="1:13" x14ac:dyDescent="0.2">
      <c r="A159"/>
      <c r="B159"/>
      <c r="C159"/>
      <c r="D159"/>
      <c r="E159" s="7"/>
      <c r="F159"/>
      <c r="G159"/>
      <c r="H159" s="10"/>
      <c r="I159" s="10"/>
      <c r="J159" s="10"/>
      <c r="K159" s="10"/>
      <c r="L159" s="10"/>
      <c r="M159" s="51"/>
    </row>
    <row r="160" spans="1:13" x14ac:dyDescent="0.2">
      <c r="A160"/>
      <c r="B160"/>
      <c r="C160"/>
      <c r="D160"/>
      <c r="E160" s="7"/>
      <c r="F160"/>
      <c r="G160"/>
      <c r="H160" s="10"/>
      <c r="I160" s="10"/>
      <c r="J160" s="10"/>
      <c r="K160" s="10"/>
      <c r="L160" s="10"/>
      <c r="M160" s="51"/>
    </row>
    <row r="161" spans="1:13" x14ac:dyDescent="0.2">
      <c r="A161"/>
      <c r="B161"/>
      <c r="C161"/>
      <c r="D161"/>
      <c r="E161" s="7"/>
      <c r="F161"/>
      <c r="G161"/>
      <c r="H161" s="10"/>
      <c r="I161" s="10"/>
      <c r="J161" s="10"/>
      <c r="K161" s="10"/>
      <c r="L161" s="10"/>
      <c r="M161" s="51"/>
    </row>
    <row r="162" spans="1:13" x14ac:dyDescent="0.2">
      <c r="A162"/>
      <c r="B162"/>
      <c r="C162"/>
      <c r="D162"/>
      <c r="E162" s="7"/>
      <c r="F162"/>
      <c r="G162"/>
      <c r="H162" s="10"/>
      <c r="I162" s="10"/>
      <c r="J162" s="10"/>
      <c r="K162" s="10"/>
      <c r="L162" s="10"/>
      <c r="M162" s="51"/>
    </row>
    <row r="163" spans="1:13" x14ac:dyDescent="0.2">
      <c r="A163"/>
      <c r="B163"/>
      <c r="C163"/>
      <c r="D163"/>
      <c r="E163" s="7"/>
      <c r="F163"/>
      <c r="G163"/>
      <c r="H163" s="10"/>
      <c r="I163" s="10"/>
      <c r="J163" s="10"/>
      <c r="K163" s="10"/>
      <c r="L163" s="10"/>
      <c r="M163" s="51"/>
    </row>
    <row r="164" spans="1:13" x14ac:dyDescent="0.2">
      <c r="A164"/>
      <c r="B164"/>
      <c r="C164"/>
      <c r="D164"/>
      <c r="E164" s="7"/>
      <c r="F164"/>
      <c r="G164"/>
      <c r="H164" s="10"/>
      <c r="I164" s="10"/>
      <c r="J164" s="10"/>
      <c r="K164" s="10"/>
      <c r="L164" s="10"/>
      <c r="M164" s="51"/>
    </row>
    <row r="165" spans="1:13" x14ac:dyDescent="0.2">
      <c r="A165"/>
      <c r="B165"/>
      <c r="C165"/>
      <c r="D165"/>
      <c r="E165" s="7"/>
      <c r="F165"/>
      <c r="G165"/>
      <c r="H165" s="10"/>
      <c r="I165" s="10"/>
      <c r="J165" s="10"/>
      <c r="K165" s="10"/>
      <c r="L165" s="10"/>
      <c r="M165" s="51"/>
    </row>
    <row r="166" spans="1:13" x14ac:dyDescent="0.2">
      <c r="A166"/>
      <c r="B166"/>
      <c r="C166"/>
      <c r="D166"/>
      <c r="E166" s="7"/>
      <c r="F166"/>
      <c r="G166"/>
      <c r="H166" s="10"/>
      <c r="I166" s="10"/>
      <c r="J166" s="10"/>
      <c r="K166" s="10"/>
      <c r="L166" s="10"/>
      <c r="M166" s="51"/>
    </row>
    <row r="167" spans="1:13" x14ac:dyDescent="0.2">
      <c r="A167"/>
      <c r="B167"/>
      <c r="C167"/>
      <c r="D167"/>
      <c r="E167" s="7"/>
      <c r="F167"/>
      <c r="G167"/>
      <c r="H167" s="10"/>
      <c r="I167" s="10"/>
      <c r="J167" s="10"/>
      <c r="K167" s="10"/>
      <c r="L167" s="10"/>
      <c r="M167" s="51"/>
    </row>
    <row r="168" spans="1:13" x14ac:dyDescent="0.2">
      <c r="A168"/>
      <c r="B168"/>
      <c r="C168"/>
      <c r="D168"/>
      <c r="E168" s="7"/>
      <c r="F168"/>
      <c r="G168"/>
      <c r="H168" s="10"/>
      <c r="I168" s="10"/>
      <c r="J168" s="10"/>
      <c r="K168" s="10"/>
      <c r="L168" s="10"/>
      <c r="M168" s="51"/>
    </row>
    <row r="169" spans="1:13" x14ac:dyDescent="0.2">
      <c r="A169"/>
      <c r="B169"/>
      <c r="C169"/>
      <c r="D169"/>
      <c r="E169" s="7"/>
      <c r="F169"/>
      <c r="G169"/>
      <c r="H169" s="10"/>
      <c r="I169" s="10"/>
      <c r="J169" s="10"/>
      <c r="K169" s="10"/>
      <c r="L169" s="10"/>
      <c r="M169" s="51"/>
    </row>
    <row r="170" spans="1:13" x14ac:dyDescent="0.2">
      <c r="A170"/>
      <c r="B170"/>
      <c r="C170"/>
      <c r="D170"/>
      <c r="E170" s="7"/>
      <c r="F170"/>
      <c r="G170"/>
      <c r="H170" s="10"/>
      <c r="I170" s="10"/>
      <c r="J170" s="10"/>
      <c r="K170" s="10"/>
      <c r="L170" s="10"/>
      <c r="M170" s="51"/>
    </row>
    <row r="171" spans="1:13" x14ac:dyDescent="0.2">
      <c r="A171"/>
      <c r="B171"/>
      <c r="C171"/>
      <c r="D171"/>
      <c r="E171" s="7"/>
      <c r="F171"/>
      <c r="G171"/>
      <c r="H171" s="10"/>
      <c r="I171" s="10"/>
      <c r="J171" s="10"/>
      <c r="K171" s="10"/>
      <c r="L171" s="10"/>
      <c r="M171" s="51"/>
    </row>
    <row r="172" spans="1:13" x14ac:dyDescent="0.2">
      <c r="A172"/>
      <c r="B172"/>
      <c r="C172"/>
      <c r="D172"/>
      <c r="E172" s="7"/>
      <c r="F172"/>
      <c r="G172"/>
      <c r="H172" s="10"/>
      <c r="I172" s="10"/>
      <c r="J172" s="10"/>
      <c r="K172" s="10"/>
      <c r="L172" s="10"/>
      <c r="M172" s="51"/>
    </row>
    <row r="173" spans="1:13" x14ac:dyDescent="0.2">
      <c r="A173"/>
      <c r="B173"/>
      <c r="C173"/>
      <c r="D173"/>
      <c r="E173" s="7"/>
      <c r="F173"/>
      <c r="G173"/>
      <c r="H173" s="10"/>
      <c r="I173" s="10"/>
      <c r="J173" s="10"/>
      <c r="K173" s="10"/>
      <c r="L173" s="10"/>
      <c r="M173" s="51"/>
    </row>
    <row r="174" spans="1:13" x14ac:dyDescent="0.2">
      <c r="A174"/>
      <c r="B174"/>
      <c r="C174"/>
      <c r="D174"/>
      <c r="E174" s="7"/>
      <c r="F174"/>
      <c r="G174"/>
      <c r="H174" s="10"/>
      <c r="I174" s="10"/>
      <c r="J174" s="10"/>
      <c r="K174" s="10"/>
      <c r="L174" s="10"/>
      <c r="M174" s="51"/>
    </row>
    <row r="175" spans="1:13" x14ac:dyDescent="0.2">
      <c r="A175"/>
      <c r="B175"/>
      <c r="C175"/>
      <c r="D175"/>
      <c r="E175" s="7"/>
      <c r="F175"/>
      <c r="G175"/>
      <c r="H175" s="10"/>
      <c r="I175" s="10"/>
      <c r="J175" s="10"/>
      <c r="K175" s="10"/>
      <c r="L175" s="10"/>
      <c r="M175" s="51"/>
    </row>
    <row r="176" spans="1:13" x14ac:dyDescent="0.2">
      <c r="A176"/>
      <c r="B176"/>
      <c r="C176"/>
      <c r="D176"/>
      <c r="E176" s="7"/>
      <c r="F176"/>
      <c r="G176"/>
      <c r="H176" s="10"/>
      <c r="I176" s="10"/>
      <c r="J176" s="10"/>
      <c r="K176" s="10"/>
      <c r="L176" s="10"/>
      <c r="M176" s="51"/>
    </row>
    <row r="177" spans="1:13" x14ac:dyDescent="0.2">
      <c r="A177"/>
      <c r="B177"/>
      <c r="C177"/>
      <c r="D177"/>
      <c r="E177" s="7"/>
      <c r="F177"/>
      <c r="G177"/>
      <c r="H177" s="10"/>
      <c r="I177" s="10"/>
      <c r="J177" s="10"/>
      <c r="K177" s="10"/>
      <c r="L177" s="10"/>
      <c r="M177" s="51"/>
    </row>
    <row r="178" spans="1:13" x14ac:dyDescent="0.2">
      <c r="A178"/>
      <c r="B178"/>
      <c r="C178"/>
      <c r="D178"/>
      <c r="E178" s="7"/>
      <c r="F178"/>
      <c r="G178"/>
      <c r="H178" s="10"/>
      <c r="I178" s="10"/>
      <c r="J178" s="10"/>
      <c r="K178" s="10"/>
      <c r="L178" s="10"/>
      <c r="M178" s="51"/>
    </row>
    <row r="179" spans="1:13" x14ac:dyDescent="0.2">
      <c r="A179"/>
      <c r="B179"/>
      <c r="C179"/>
      <c r="D179"/>
      <c r="E179" s="7"/>
      <c r="F179"/>
      <c r="G179"/>
      <c r="H179" s="10"/>
      <c r="I179" s="10"/>
      <c r="J179" s="10"/>
      <c r="K179" s="10"/>
      <c r="L179" s="10"/>
      <c r="M179" s="51"/>
    </row>
    <row r="180" spans="1:13" x14ac:dyDescent="0.2">
      <c r="A180"/>
      <c r="B180"/>
      <c r="C180"/>
      <c r="D180"/>
      <c r="E180" s="7"/>
      <c r="F180"/>
      <c r="G180"/>
      <c r="H180" s="10"/>
      <c r="I180" s="10"/>
      <c r="J180" s="10"/>
      <c r="K180" s="10"/>
      <c r="L180" s="10"/>
      <c r="M180" s="51"/>
    </row>
    <row r="181" spans="1:13" x14ac:dyDescent="0.2">
      <c r="A181"/>
      <c r="B181"/>
      <c r="C181"/>
      <c r="D181"/>
      <c r="E181" s="7"/>
      <c r="F181"/>
      <c r="G181"/>
      <c r="H181" s="10"/>
      <c r="I181" s="10"/>
      <c r="J181" s="10"/>
      <c r="K181" s="10"/>
      <c r="L181" s="10"/>
      <c r="M181" s="51"/>
    </row>
    <row r="182" spans="1:13" x14ac:dyDescent="0.2">
      <c r="A182"/>
      <c r="B182"/>
      <c r="C182"/>
      <c r="D182"/>
      <c r="E182" s="7"/>
      <c r="F182"/>
      <c r="G182"/>
      <c r="H182" s="10"/>
      <c r="I182" s="10"/>
      <c r="J182" s="10"/>
      <c r="K182" s="10"/>
      <c r="L182" s="10"/>
      <c r="M182" s="51"/>
    </row>
    <row r="183" spans="1:13" x14ac:dyDescent="0.2">
      <c r="A183"/>
      <c r="B183"/>
      <c r="C183"/>
      <c r="D183"/>
      <c r="E183" s="7"/>
      <c r="F183"/>
      <c r="G183"/>
      <c r="H183" s="10"/>
      <c r="I183" s="10"/>
      <c r="J183" s="10"/>
      <c r="K183" s="10"/>
      <c r="L183" s="10"/>
      <c r="M183" s="51"/>
    </row>
    <row r="184" spans="1:13" x14ac:dyDescent="0.2">
      <c r="A184"/>
      <c r="B184"/>
      <c r="C184"/>
      <c r="D184"/>
      <c r="E184" s="7"/>
      <c r="F184"/>
      <c r="G184"/>
      <c r="H184" s="10"/>
      <c r="I184" s="10"/>
      <c r="J184" s="10"/>
      <c r="K184" s="10"/>
      <c r="L184" s="10"/>
      <c r="M184" s="51"/>
    </row>
    <row r="185" spans="1:13" x14ac:dyDescent="0.2">
      <c r="A185"/>
      <c r="B185"/>
      <c r="C185"/>
      <c r="D185"/>
      <c r="E185" s="7"/>
      <c r="F185"/>
      <c r="G185"/>
      <c r="H185" s="10"/>
      <c r="I185" s="10"/>
      <c r="J185" s="10"/>
      <c r="K185" s="10"/>
      <c r="L185" s="10"/>
      <c r="M185" s="51"/>
    </row>
    <row r="186" spans="1:13" x14ac:dyDescent="0.2">
      <c r="A186"/>
      <c r="B186"/>
      <c r="C186"/>
      <c r="D186"/>
      <c r="E186" s="7"/>
      <c r="F186"/>
      <c r="G186"/>
      <c r="H186" s="10"/>
      <c r="I186" s="10"/>
      <c r="J186" s="10"/>
      <c r="K186" s="10"/>
      <c r="L186" s="10"/>
      <c r="M186" s="51"/>
    </row>
    <row r="187" spans="1:13" x14ac:dyDescent="0.2">
      <c r="A187"/>
      <c r="B187"/>
      <c r="C187"/>
      <c r="D187"/>
      <c r="E187" s="7"/>
      <c r="F187"/>
      <c r="G187"/>
      <c r="H187" s="10"/>
      <c r="I187" s="10"/>
      <c r="J187" s="10"/>
      <c r="K187" s="10"/>
      <c r="L187" s="10"/>
      <c r="M187" s="51"/>
    </row>
    <row r="188" spans="1:13" x14ac:dyDescent="0.2">
      <c r="A188"/>
      <c r="B188"/>
      <c r="C188"/>
      <c r="D188"/>
      <c r="E188" s="7"/>
      <c r="F188"/>
      <c r="G188"/>
      <c r="H188" s="10"/>
      <c r="I188" s="10"/>
      <c r="J188" s="10"/>
      <c r="K188" s="10"/>
      <c r="L188" s="10"/>
      <c r="M188" s="51"/>
    </row>
    <row r="189" spans="1:13" x14ac:dyDescent="0.2">
      <c r="A189"/>
      <c r="B189"/>
      <c r="C189"/>
      <c r="D189"/>
      <c r="E189" s="7"/>
      <c r="F189"/>
      <c r="G189"/>
      <c r="H189" s="10"/>
      <c r="I189" s="10"/>
      <c r="J189" s="10"/>
      <c r="K189" s="10"/>
      <c r="L189" s="10"/>
      <c r="M189" s="51"/>
    </row>
    <row r="190" spans="1:13" x14ac:dyDescent="0.2">
      <c r="A190"/>
      <c r="B190"/>
      <c r="C190"/>
      <c r="D190"/>
      <c r="E190" s="7"/>
      <c r="F190"/>
      <c r="G190"/>
      <c r="H190" s="10"/>
      <c r="I190" s="10"/>
      <c r="J190" s="10"/>
      <c r="K190" s="10"/>
      <c r="L190" s="10"/>
      <c r="M190" s="51"/>
    </row>
    <row r="191" spans="1:13" x14ac:dyDescent="0.2">
      <c r="A191"/>
      <c r="B191"/>
      <c r="C191"/>
      <c r="D191"/>
      <c r="E191" s="7"/>
      <c r="F191"/>
      <c r="G191"/>
      <c r="H191" s="10"/>
      <c r="I191" s="10"/>
      <c r="J191" s="10"/>
      <c r="K191" s="10"/>
      <c r="L191" s="10"/>
      <c r="M191" s="51"/>
    </row>
    <row r="192" spans="1:13" x14ac:dyDescent="0.2">
      <c r="A192"/>
      <c r="B192"/>
      <c r="C192"/>
      <c r="D192"/>
      <c r="E192" s="7"/>
      <c r="F192"/>
      <c r="G192"/>
      <c r="H192" s="10"/>
      <c r="I192" s="10"/>
      <c r="J192" s="10"/>
      <c r="K192" s="10"/>
      <c r="L192" s="10"/>
      <c r="M192" s="51"/>
    </row>
    <row r="193" spans="1:13" x14ac:dyDescent="0.2">
      <c r="A193"/>
      <c r="B193"/>
      <c r="C193"/>
      <c r="D193"/>
      <c r="E193" s="7"/>
      <c r="F193"/>
      <c r="G193"/>
      <c r="H193" s="10"/>
      <c r="I193" s="10"/>
      <c r="J193" s="10"/>
      <c r="K193" s="10"/>
      <c r="L193" s="10"/>
      <c r="M193" s="51"/>
    </row>
    <row r="194" spans="1:13" x14ac:dyDescent="0.2">
      <c r="A194"/>
      <c r="B194"/>
      <c r="C194"/>
      <c r="D194"/>
      <c r="E194" s="7"/>
      <c r="F194"/>
      <c r="G194"/>
      <c r="H194" s="10"/>
      <c r="I194" s="10"/>
      <c r="J194" s="10"/>
      <c r="K194" s="10"/>
      <c r="L194" s="10"/>
      <c r="M194" s="51"/>
    </row>
    <row r="195" spans="1:13" x14ac:dyDescent="0.2">
      <c r="A195"/>
      <c r="B195"/>
      <c r="C195"/>
      <c r="D195"/>
      <c r="E195" s="7"/>
      <c r="F195"/>
      <c r="G195"/>
      <c r="H195" s="10"/>
      <c r="I195" s="10"/>
      <c r="J195" s="10"/>
      <c r="K195" s="10"/>
      <c r="L195" s="10"/>
      <c r="M195" s="51"/>
    </row>
    <row r="196" spans="1:13" x14ac:dyDescent="0.2">
      <c r="A196"/>
      <c r="B196"/>
      <c r="C196"/>
      <c r="D196"/>
      <c r="E196" s="7"/>
      <c r="F196"/>
      <c r="G196"/>
      <c r="H196" s="10"/>
      <c r="I196" s="10"/>
      <c r="J196" s="10"/>
      <c r="K196" s="10"/>
      <c r="L196" s="10"/>
      <c r="M196" s="51"/>
    </row>
    <row r="197" spans="1:13" x14ac:dyDescent="0.2">
      <c r="A197"/>
      <c r="B197"/>
      <c r="C197"/>
      <c r="D197"/>
      <c r="E197" s="7"/>
      <c r="F197"/>
      <c r="G197"/>
      <c r="H197" s="10"/>
      <c r="I197" s="10"/>
      <c r="J197" s="10"/>
      <c r="K197" s="10"/>
      <c r="L197" s="10"/>
      <c r="M197" s="51"/>
    </row>
    <row r="198" spans="1:13" x14ac:dyDescent="0.2">
      <c r="A198"/>
      <c r="B198"/>
      <c r="C198"/>
      <c r="D198"/>
      <c r="E198" s="7"/>
      <c r="F198"/>
      <c r="G198"/>
      <c r="H198" s="10"/>
      <c r="I198" s="10"/>
      <c r="J198" s="10"/>
      <c r="K198" s="10"/>
      <c r="L198" s="10"/>
      <c r="M198" s="51"/>
    </row>
    <row r="199" spans="1:13" x14ac:dyDescent="0.2">
      <c r="A199"/>
      <c r="B199"/>
      <c r="C199"/>
      <c r="D199"/>
      <c r="E199" s="7"/>
      <c r="F199"/>
      <c r="G199"/>
      <c r="H199" s="10"/>
      <c r="I199" s="10"/>
      <c r="J199" s="10"/>
      <c r="K199" s="10"/>
      <c r="L199" s="10"/>
      <c r="M199" s="51"/>
    </row>
    <row r="200" spans="1:13" x14ac:dyDescent="0.2">
      <c r="A200"/>
      <c r="B200"/>
      <c r="C200"/>
      <c r="D200"/>
      <c r="E200" s="7"/>
      <c r="F200"/>
      <c r="G200"/>
      <c r="H200" s="10"/>
      <c r="I200" s="10"/>
      <c r="J200" s="10"/>
      <c r="K200" s="10"/>
      <c r="L200" s="10"/>
      <c r="M200" s="51"/>
    </row>
    <row r="201" spans="1:13" x14ac:dyDescent="0.2">
      <c r="A201"/>
      <c r="B201"/>
      <c r="C201"/>
      <c r="D201"/>
      <c r="E201" s="7"/>
      <c r="F201"/>
      <c r="G201"/>
      <c r="H201" s="10"/>
      <c r="I201" s="10"/>
      <c r="J201" s="10"/>
      <c r="K201" s="10"/>
      <c r="L201" s="10"/>
      <c r="M201" s="51"/>
    </row>
    <row r="202" spans="1:13" x14ac:dyDescent="0.2">
      <c r="A202"/>
      <c r="B202"/>
      <c r="C202"/>
      <c r="D202"/>
      <c r="E202" s="7"/>
      <c r="F202"/>
      <c r="G202"/>
      <c r="H202" s="10"/>
      <c r="I202" s="10"/>
      <c r="J202" s="10"/>
      <c r="K202" s="10"/>
      <c r="L202" s="10"/>
      <c r="M202" s="51"/>
    </row>
    <row r="203" spans="1:13" x14ac:dyDescent="0.2">
      <c r="A203"/>
      <c r="B203"/>
      <c r="C203"/>
      <c r="D203"/>
      <c r="E203" s="7"/>
      <c r="F203"/>
      <c r="G203"/>
      <c r="H203" s="10"/>
      <c r="I203" s="10"/>
      <c r="J203" s="10"/>
      <c r="K203" s="10"/>
      <c r="L203" s="10"/>
      <c r="M203" s="51"/>
    </row>
    <row r="204" spans="1:13" x14ac:dyDescent="0.2">
      <c r="A204"/>
      <c r="B204"/>
      <c r="C204"/>
      <c r="D204"/>
      <c r="E204" s="7"/>
      <c r="F204"/>
      <c r="G204"/>
      <c r="H204" s="10"/>
      <c r="I204" s="10"/>
      <c r="J204" s="10"/>
      <c r="K204" s="10"/>
      <c r="L204" s="10"/>
      <c r="M204" s="51"/>
    </row>
    <row r="205" spans="1:13" x14ac:dyDescent="0.2">
      <c r="A205"/>
      <c r="B205"/>
      <c r="C205"/>
      <c r="D205"/>
      <c r="E205" s="7"/>
      <c r="F205"/>
      <c r="G205"/>
      <c r="H205" s="10"/>
      <c r="I205" s="10"/>
      <c r="J205" s="10"/>
      <c r="K205" s="10"/>
      <c r="L205" s="10"/>
      <c r="M205" s="51"/>
    </row>
    <row r="206" spans="1:13" x14ac:dyDescent="0.2">
      <c r="A206"/>
      <c r="B206"/>
      <c r="C206"/>
      <c r="D206"/>
      <c r="E206" s="7"/>
      <c r="F206"/>
      <c r="G206"/>
      <c r="H206" s="10"/>
      <c r="I206" s="10"/>
      <c r="J206" s="10"/>
      <c r="K206" s="10"/>
      <c r="L206" s="10"/>
      <c r="M206" s="51"/>
    </row>
    <row r="207" spans="1:13" x14ac:dyDescent="0.2">
      <c r="A207"/>
      <c r="B207"/>
      <c r="C207"/>
      <c r="D207"/>
      <c r="E207" s="7"/>
      <c r="F207"/>
      <c r="G207"/>
      <c r="H207" s="10"/>
      <c r="I207" s="10"/>
      <c r="J207" s="10"/>
      <c r="K207" s="10"/>
      <c r="L207" s="10"/>
      <c r="M207" s="51"/>
    </row>
    <row r="208" spans="1:13" x14ac:dyDescent="0.2">
      <c r="A208"/>
      <c r="B208"/>
      <c r="C208"/>
      <c r="D208"/>
      <c r="E208" s="7"/>
      <c r="F208"/>
      <c r="G208"/>
      <c r="H208" s="10"/>
      <c r="I208" s="10"/>
      <c r="J208" s="10"/>
      <c r="K208" s="10"/>
      <c r="L208" s="10"/>
      <c r="M208" s="51"/>
    </row>
    <row r="209" spans="1:13" x14ac:dyDescent="0.2">
      <c r="A209"/>
      <c r="B209"/>
      <c r="C209"/>
      <c r="D209"/>
      <c r="E209" s="7"/>
      <c r="F209"/>
      <c r="G209"/>
      <c r="H209" s="10"/>
      <c r="I209" s="10"/>
      <c r="J209" s="10"/>
      <c r="K209" s="10"/>
      <c r="L209" s="10"/>
      <c r="M209" s="51"/>
    </row>
    <row r="210" spans="1:13" x14ac:dyDescent="0.2">
      <c r="A210"/>
      <c r="B210"/>
      <c r="C210"/>
      <c r="D210"/>
      <c r="E210" s="7"/>
      <c r="F210"/>
      <c r="G210"/>
      <c r="H210" s="10"/>
      <c r="I210" s="10"/>
      <c r="J210" s="10"/>
      <c r="K210" s="10"/>
      <c r="L210" s="10"/>
      <c r="M210" s="51"/>
    </row>
    <row r="211" spans="1:13" x14ac:dyDescent="0.2">
      <c r="A211"/>
      <c r="B211"/>
      <c r="C211"/>
      <c r="D211"/>
      <c r="E211" s="7"/>
      <c r="F211"/>
      <c r="G211"/>
      <c r="H211" s="10"/>
      <c r="I211" s="10"/>
      <c r="J211" s="10"/>
      <c r="K211" s="10"/>
      <c r="L211" s="10"/>
      <c r="M211" s="51"/>
    </row>
    <row r="212" spans="1:13" x14ac:dyDescent="0.2">
      <c r="A212"/>
      <c r="B212"/>
      <c r="C212"/>
      <c r="D212"/>
      <c r="E212" s="7"/>
      <c r="F212"/>
      <c r="G212"/>
      <c r="H212" s="10"/>
      <c r="I212" s="10"/>
      <c r="J212" s="10"/>
      <c r="K212" s="10"/>
      <c r="L212" s="10"/>
      <c r="M212" s="51"/>
    </row>
    <row r="213" spans="1:13" x14ac:dyDescent="0.2">
      <c r="A213"/>
      <c r="B213"/>
      <c r="C213"/>
      <c r="D213"/>
      <c r="E213" s="7"/>
      <c r="F213"/>
      <c r="G213"/>
      <c r="H213" s="10"/>
      <c r="I213" s="10"/>
      <c r="J213" s="10"/>
      <c r="K213" s="10"/>
      <c r="L213" s="10"/>
      <c r="M213" s="51"/>
    </row>
    <row r="214" spans="1:13" x14ac:dyDescent="0.2">
      <c r="A214"/>
      <c r="B214"/>
      <c r="C214"/>
      <c r="D214"/>
      <c r="E214" s="7"/>
      <c r="F214"/>
      <c r="G214"/>
      <c r="H214" s="10"/>
      <c r="I214" s="10"/>
      <c r="J214" s="10"/>
      <c r="K214" s="10"/>
      <c r="L214" s="10"/>
      <c r="M214" s="51"/>
    </row>
    <row r="215" spans="1:13" x14ac:dyDescent="0.2">
      <c r="A215"/>
      <c r="B215"/>
      <c r="C215"/>
      <c r="D215"/>
      <c r="E215" s="7"/>
      <c r="F215"/>
      <c r="G215"/>
      <c r="H215" s="10"/>
      <c r="I215" s="10"/>
      <c r="J215" s="10"/>
      <c r="K215" s="10"/>
      <c r="L215" s="10"/>
      <c r="M215" s="51"/>
    </row>
    <row r="216" spans="1:13" x14ac:dyDescent="0.2">
      <c r="A216"/>
      <c r="B216"/>
      <c r="C216"/>
      <c r="D216"/>
      <c r="E216" s="7"/>
      <c r="F216"/>
      <c r="G216"/>
      <c r="H216" s="10"/>
      <c r="I216" s="10"/>
      <c r="J216" s="10"/>
      <c r="K216" s="10"/>
      <c r="L216" s="10"/>
      <c r="M216" s="51"/>
    </row>
    <row r="217" spans="1:13" x14ac:dyDescent="0.2">
      <c r="A217"/>
      <c r="B217"/>
      <c r="C217"/>
      <c r="D217"/>
      <c r="E217" s="7"/>
      <c r="F217"/>
      <c r="G217"/>
      <c r="H217" s="10"/>
      <c r="I217" s="10"/>
      <c r="J217" s="10"/>
      <c r="K217" s="10"/>
      <c r="L217" s="10"/>
      <c r="M217" s="51"/>
    </row>
    <row r="218" spans="1:13" x14ac:dyDescent="0.2">
      <c r="A218"/>
      <c r="B218"/>
      <c r="C218"/>
      <c r="D218"/>
      <c r="E218" s="7"/>
      <c r="F218"/>
      <c r="G218"/>
      <c r="H218" s="10"/>
      <c r="I218" s="10"/>
      <c r="J218" s="10"/>
      <c r="K218" s="10"/>
      <c r="L218" s="10"/>
      <c r="M218" s="51"/>
    </row>
    <row r="219" spans="1:13" x14ac:dyDescent="0.2">
      <c r="A219"/>
      <c r="B219"/>
      <c r="C219"/>
      <c r="D219"/>
      <c r="E219" s="7"/>
      <c r="F219"/>
      <c r="G219"/>
      <c r="H219" s="10"/>
      <c r="I219" s="10"/>
      <c r="J219" s="10"/>
      <c r="K219" s="10"/>
      <c r="L219" s="10"/>
      <c r="M219" s="51"/>
    </row>
    <row r="220" spans="1:13" x14ac:dyDescent="0.2">
      <c r="A220"/>
      <c r="B220"/>
      <c r="C220"/>
      <c r="D220"/>
      <c r="E220" s="7"/>
      <c r="F220"/>
      <c r="G220"/>
      <c r="H220" s="10"/>
      <c r="I220" s="10"/>
      <c r="J220" s="10"/>
      <c r="K220" s="10"/>
      <c r="L220" s="10"/>
      <c r="M220" s="51"/>
    </row>
    <row r="221" spans="1:13" x14ac:dyDescent="0.2">
      <c r="A221"/>
      <c r="B221"/>
      <c r="C221"/>
      <c r="D221"/>
      <c r="E221" s="7"/>
      <c r="F221"/>
      <c r="G221"/>
      <c r="H221" s="10"/>
      <c r="I221" s="10"/>
      <c r="J221" s="10"/>
      <c r="K221" s="10"/>
      <c r="L221" s="10"/>
      <c r="M221" s="51"/>
    </row>
    <row r="222" spans="1:13" x14ac:dyDescent="0.2">
      <c r="A222"/>
      <c r="B222"/>
      <c r="C222"/>
      <c r="D222"/>
      <c r="E222" s="7"/>
      <c r="F222"/>
      <c r="G222"/>
      <c r="H222" s="10"/>
      <c r="I222" s="10"/>
      <c r="J222" s="10"/>
      <c r="K222" s="10"/>
      <c r="L222" s="10"/>
      <c r="M222" s="51"/>
    </row>
    <row r="223" spans="1:13" x14ac:dyDescent="0.2">
      <c r="A223"/>
      <c r="B223"/>
      <c r="C223"/>
      <c r="D223"/>
      <c r="E223" s="7"/>
      <c r="F223"/>
      <c r="G223"/>
      <c r="H223" s="10"/>
      <c r="I223" s="10"/>
      <c r="J223" s="10"/>
      <c r="K223" s="10"/>
      <c r="L223" s="10"/>
      <c r="M223" s="51"/>
    </row>
    <row r="224" spans="1:13" x14ac:dyDescent="0.2">
      <c r="A224"/>
      <c r="B224"/>
      <c r="C224"/>
      <c r="D224"/>
      <c r="E224" s="7"/>
      <c r="F224"/>
      <c r="G224"/>
      <c r="H224" s="10"/>
      <c r="I224" s="10"/>
      <c r="J224" s="10"/>
      <c r="K224" s="10"/>
      <c r="L224" s="10"/>
      <c r="M224" s="51"/>
    </row>
    <row r="225" spans="1:13" x14ac:dyDescent="0.2">
      <c r="A225"/>
      <c r="B225"/>
      <c r="C225"/>
      <c r="D225"/>
      <c r="E225" s="7"/>
      <c r="F225"/>
      <c r="G225"/>
      <c r="H225" s="10"/>
      <c r="I225" s="10"/>
      <c r="J225" s="10"/>
      <c r="K225" s="10"/>
      <c r="L225" s="10"/>
      <c r="M225" s="51"/>
    </row>
    <row r="226" spans="1:13" x14ac:dyDescent="0.2">
      <c r="A226"/>
      <c r="B226"/>
      <c r="C226"/>
      <c r="D226"/>
      <c r="E226" s="7"/>
      <c r="F226"/>
      <c r="G226"/>
      <c r="H226" s="10"/>
      <c r="I226" s="10"/>
      <c r="J226" s="10"/>
      <c r="K226" s="10"/>
      <c r="L226" s="10"/>
      <c r="M226" s="51"/>
    </row>
    <row r="227" spans="1:13" x14ac:dyDescent="0.2">
      <c r="A227"/>
      <c r="B227"/>
      <c r="C227"/>
      <c r="D227"/>
      <c r="E227" s="7"/>
      <c r="F227"/>
      <c r="G227"/>
      <c r="H227" s="10"/>
      <c r="I227" s="10"/>
      <c r="J227" s="10"/>
      <c r="K227" s="10"/>
      <c r="L227" s="10"/>
      <c r="M227" s="51"/>
    </row>
    <row r="228" spans="1:13" x14ac:dyDescent="0.2">
      <c r="A228"/>
      <c r="B228"/>
      <c r="C228"/>
      <c r="D228"/>
      <c r="E228" s="7"/>
      <c r="F228"/>
      <c r="G228"/>
      <c r="H228" s="10"/>
      <c r="I228" s="10"/>
      <c r="J228" s="10"/>
      <c r="K228" s="10"/>
      <c r="L228" s="10"/>
      <c r="M228" s="51"/>
    </row>
    <row r="229" spans="1:13" x14ac:dyDescent="0.2">
      <c r="A229"/>
      <c r="B229"/>
      <c r="C229"/>
      <c r="D229"/>
      <c r="E229" s="7"/>
      <c r="F229"/>
      <c r="G229"/>
      <c r="H229" s="10"/>
      <c r="I229" s="10"/>
      <c r="J229" s="10"/>
      <c r="K229" s="10"/>
      <c r="L229" s="10"/>
      <c r="M229" s="51"/>
    </row>
    <row r="230" spans="1:13" x14ac:dyDescent="0.2">
      <c r="A230"/>
      <c r="B230"/>
      <c r="C230"/>
      <c r="D230"/>
      <c r="E230" s="7"/>
      <c r="F230"/>
      <c r="G230"/>
      <c r="H230" s="10"/>
      <c r="I230" s="10"/>
      <c r="J230" s="10"/>
      <c r="K230" s="10"/>
      <c r="L230" s="10"/>
      <c r="M230" s="51"/>
    </row>
    <row r="231" spans="1:13" x14ac:dyDescent="0.2">
      <c r="A231"/>
      <c r="B231"/>
      <c r="C231"/>
      <c r="D231"/>
      <c r="E231" s="7"/>
      <c r="F231"/>
      <c r="G231"/>
      <c r="H231" s="10"/>
      <c r="I231" s="10"/>
      <c r="J231" s="10"/>
      <c r="K231" s="10"/>
      <c r="L231" s="10"/>
      <c r="M231" s="51"/>
    </row>
    <row r="232" spans="1:13" x14ac:dyDescent="0.2">
      <c r="A232"/>
      <c r="B232"/>
      <c r="C232"/>
      <c r="D232"/>
      <c r="E232" s="7"/>
      <c r="F232"/>
      <c r="G232"/>
      <c r="H232" s="10"/>
      <c r="I232" s="10"/>
      <c r="J232" s="10"/>
      <c r="K232" s="10"/>
      <c r="L232" s="10"/>
      <c r="M232" s="51"/>
    </row>
    <row r="233" spans="1:13" x14ac:dyDescent="0.2">
      <c r="A233"/>
      <c r="B233"/>
      <c r="C233"/>
      <c r="D233"/>
      <c r="E233" s="7"/>
      <c r="F233"/>
      <c r="G233"/>
      <c r="H233" s="10"/>
      <c r="I233" s="10"/>
      <c r="J233" s="10"/>
      <c r="K233" s="10"/>
      <c r="L233" s="10"/>
      <c r="M233" s="51"/>
    </row>
    <row r="234" spans="1:13" x14ac:dyDescent="0.2">
      <c r="A234"/>
      <c r="B234"/>
      <c r="C234"/>
      <c r="D234"/>
      <c r="E234" s="7"/>
      <c r="F234"/>
      <c r="G234"/>
      <c r="H234" s="10"/>
      <c r="I234" s="10"/>
      <c r="J234" s="10"/>
      <c r="K234" s="10"/>
      <c r="L234" s="10"/>
      <c r="M234" s="51"/>
    </row>
    <row r="235" spans="1:13" x14ac:dyDescent="0.2">
      <c r="A235"/>
      <c r="B235"/>
      <c r="C235"/>
      <c r="D235"/>
      <c r="E235" s="7"/>
      <c r="F235"/>
      <c r="G235"/>
      <c r="H235" s="10"/>
      <c r="I235" s="10"/>
      <c r="J235" s="10"/>
      <c r="K235" s="10"/>
      <c r="L235" s="10"/>
      <c r="M235" s="51"/>
    </row>
  </sheetData>
  <pageMargins left="0.75" right="0.75" top="1" bottom="1" header="0.5" footer="0.5"/>
  <pageSetup scale="7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5"/>
  <sheetViews>
    <sheetView topLeftCell="G1" zoomScale="120" zoomScaleNormal="120" workbookViewId="0">
      <pane ySplit="1" topLeftCell="A2" activePane="bottomLeft" state="frozen"/>
      <selection pane="bottomLeft" activeCell="M6" sqref="M6:M9"/>
    </sheetView>
  </sheetViews>
  <sheetFormatPr defaultColWidth="9.140625" defaultRowHeight="12.75" x14ac:dyDescent="0.2"/>
  <cols>
    <col min="1" max="1" width="10.140625" style="3" customWidth="1"/>
    <col min="2" max="2" width="25.7109375" style="3" customWidth="1"/>
    <col min="3" max="3" width="10.85546875" style="3" bestFit="1" customWidth="1"/>
    <col min="4" max="4" width="13.7109375" style="3" customWidth="1"/>
    <col min="5" max="5" width="11.42578125" style="8" customWidth="1"/>
    <col min="6" max="7" width="8" style="3" customWidth="1"/>
    <col min="8" max="8" width="8" style="11" customWidth="1"/>
    <col min="9" max="9" width="10.5703125" style="11" customWidth="1"/>
    <col min="10" max="10" width="15.28515625" style="11" customWidth="1"/>
    <col min="11" max="11" width="9.140625" style="11" customWidth="1"/>
    <col min="12" max="12" width="8" style="11" customWidth="1"/>
    <col min="13" max="13" width="116.28515625" style="82" customWidth="1"/>
    <col min="14" max="14" width="27.85546875" style="14" bestFit="1" customWidth="1"/>
    <col min="15" max="16384" width="9.140625" style="3"/>
  </cols>
  <sheetData>
    <row r="1" spans="1:14" s="1" customFormat="1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1" t="s">
        <v>5</v>
      </c>
      <c r="G1" s="1" t="s">
        <v>6</v>
      </c>
      <c r="H1" s="9" t="s">
        <v>7</v>
      </c>
      <c r="I1" s="30" t="s">
        <v>8</v>
      </c>
      <c r="J1" s="30" t="s">
        <v>9</v>
      </c>
      <c r="K1" s="16" t="s">
        <v>10</v>
      </c>
      <c r="L1" s="16" t="s">
        <v>11</v>
      </c>
      <c r="M1" s="77" t="s">
        <v>12</v>
      </c>
      <c r="N1" s="13"/>
    </row>
    <row r="2" spans="1:14" s="1" customFormat="1" x14ac:dyDescent="0.2">
      <c r="A2" s="2" t="s">
        <v>220</v>
      </c>
      <c r="B2" s="20" t="s">
        <v>126</v>
      </c>
      <c r="C2" s="43">
        <v>44256</v>
      </c>
      <c r="D2" s="2" t="s">
        <v>44</v>
      </c>
      <c r="E2" s="7">
        <v>14793</v>
      </c>
      <c r="F2"/>
      <c r="G2"/>
      <c r="H2" s="37">
        <v>-1.3780999999999999</v>
      </c>
      <c r="I2" s="33"/>
      <c r="J2" s="14"/>
      <c r="K2" s="34">
        <v>0</v>
      </c>
      <c r="L2" s="93">
        <v>-787</v>
      </c>
      <c r="M2" s="46">
        <f>-0.1981-1.18</f>
        <v>-1.3780999999999999</v>
      </c>
      <c r="N2" s="13"/>
    </row>
    <row r="3" spans="1:14" x14ac:dyDescent="0.2">
      <c r="A3" s="2" t="s">
        <v>220</v>
      </c>
      <c r="B3" s="20" t="s">
        <v>126</v>
      </c>
      <c r="C3" s="43">
        <v>44256</v>
      </c>
      <c r="D3" s="2" t="s">
        <v>46</v>
      </c>
      <c r="E3" s="7">
        <v>13390040</v>
      </c>
      <c r="F3"/>
      <c r="G3"/>
      <c r="H3" s="37">
        <v>-1.8380999999999998</v>
      </c>
      <c r="I3" s="10"/>
      <c r="J3" s="10"/>
      <c r="K3" s="27"/>
      <c r="L3" s="15"/>
      <c r="M3" s="46">
        <f>-0.1981-1.64</f>
        <v>-1.8380999999999998</v>
      </c>
      <c r="N3" s="3"/>
    </row>
    <row r="4" spans="1:14" x14ac:dyDescent="0.2">
      <c r="A4" s="2" t="s">
        <v>220</v>
      </c>
      <c r="B4" s="20" t="s">
        <v>126</v>
      </c>
      <c r="C4" s="43">
        <v>44256</v>
      </c>
      <c r="D4" s="2" t="s">
        <v>23</v>
      </c>
      <c r="E4" s="7"/>
      <c r="F4"/>
      <c r="G4"/>
      <c r="H4" s="37">
        <v>-3.5806</v>
      </c>
      <c r="I4" s="10"/>
      <c r="J4" s="10"/>
      <c r="K4" s="27"/>
      <c r="L4" s="14"/>
      <c r="M4" s="46">
        <v>-3.5806</v>
      </c>
      <c r="N4" s="17"/>
    </row>
    <row r="5" spans="1:14" x14ac:dyDescent="0.2">
      <c r="A5" s="2" t="s">
        <v>220</v>
      </c>
      <c r="B5" s="20" t="s">
        <v>126</v>
      </c>
      <c r="C5" s="43">
        <v>44256</v>
      </c>
      <c r="D5" s="149" t="s">
        <v>21</v>
      </c>
      <c r="E5" s="152"/>
      <c r="F5" s="163">
        <v>150904</v>
      </c>
      <c r="G5" s="150">
        <v>521668</v>
      </c>
      <c r="H5" s="153">
        <v>1.9529000000000001</v>
      </c>
      <c r="I5" s="153"/>
      <c r="J5" s="153"/>
      <c r="K5" s="154"/>
      <c r="L5" s="155"/>
      <c r="M5" s="156">
        <v>1.9529000000000001</v>
      </c>
      <c r="N5" s="17"/>
    </row>
    <row r="6" spans="1:14" x14ac:dyDescent="0.2">
      <c r="A6" s="2" t="s">
        <v>220</v>
      </c>
      <c r="B6" s="20" t="s">
        <v>126</v>
      </c>
      <c r="C6" s="43">
        <v>44285</v>
      </c>
      <c r="D6" s="2" t="s">
        <v>44</v>
      </c>
      <c r="E6" s="7">
        <v>14793</v>
      </c>
      <c r="F6"/>
      <c r="G6"/>
      <c r="H6" s="37">
        <v>-1.3780999999999999</v>
      </c>
      <c r="I6" s="33"/>
      <c r="J6" s="14"/>
      <c r="K6" s="34">
        <v>0</v>
      </c>
      <c r="L6" s="93">
        <v>-787</v>
      </c>
      <c r="M6" s="46">
        <f>-0.21-1.18</f>
        <v>-1.39</v>
      </c>
      <c r="N6" s="17"/>
    </row>
    <row r="7" spans="1:14" x14ac:dyDescent="0.2">
      <c r="A7" s="2" t="s">
        <v>220</v>
      </c>
      <c r="B7" s="20" t="s">
        <v>126</v>
      </c>
      <c r="C7" s="43">
        <v>44285</v>
      </c>
      <c r="D7" s="2" t="s">
        <v>46</v>
      </c>
      <c r="E7" s="7">
        <v>13390040</v>
      </c>
      <c r="F7"/>
      <c r="G7"/>
      <c r="H7" s="37">
        <v>-1.8380999999999998</v>
      </c>
      <c r="I7" s="10"/>
      <c r="J7" s="10"/>
      <c r="K7" s="27"/>
      <c r="L7" s="15"/>
      <c r="M7" s="46">
        <f>-0.21-1.64</f>
        <v>-1.8499999999999999</v>
      </c>
      <c r="N7" s="17"/>
    </row>
    <row r="8" spans="1:14" x14ac:dyDescent="0.2">
      <c r="A8" s="2" t="s">
        <v>220</v>
      </c>
      <c r="B8" s="20" t="s">
        <v>126</v>
      </c>
      <c r="C8" s="43">
        <v>44285</v>
      </c>
      <c r="D8" s="2" t="s">
        <v>23</v>
      </c>
      <c r="E8" s="7"/>
      <c r="F8"/>
      <c r="G8"/>
      <c r="H8" s="37">
        <v>-3.5806</v>
      </c>
      <c r="I8" s="10"/>
      <c r="J8" s="10"/>
      <c r="K8" s="27"/>
      <c r="L8" s="14"/>
      <c r="M8" s="46">
        <v>-3.62</v>
      </c>
    </row>
    <row r="9" spans="1:14" x14ac:dyDescent="0.2">
      <c r="A9" s="2" t="s">
        <v>220</v>
      </c>
      <c r="B9" s="20" t="s">
        <v>126</v>
      </c>
      <c r="C9" s="43">
        <v>44285</v>
      </c>
      <c r="D9" s="149" t="s">
        <v>21</v>
      </c>
      <c r="E9" s="152"/>
      <c r="F9" s="163">
        <v>150904</v>
      </c>
      <c r="G9" s="150">
        <v>521668</v>
      </c>
      <c r="H9" s="153">
        <v>1.9529000000000001</v>
      </c>
      <c r="I9" s="153"/>
      <c r="J9" s="153"/>
      <c r="K9" s="154"/>
      <c r="L9" s="155"/>
      <c r="M9" s="156">
        <v>1.97</v>
      </c>
      <c r="N9" s="17"/>
    </row>
    <row r="10" spans="1:14" x14ac:dyDescent="0.2">
      <c r="A10"/>
      <c r="B10"/>
      <c r="C10" s="5"/>
      <c r="D10" s="41"/>
      <c r="E10" s="7"/>
      <c r="F10"/>
      <c r="G10"/>
      <c r="H10" s="19"/>
      <c r="I10" s="10"/>
      <c r="J10" s="10"/>
      <c r="K10" s="10"/>
      <c r="L10" s="10"/>
      <c r="M10" s="86"/>
      <c r="N10" s="17"/>
    </row>
    <row r="11" spans="1:14" x14ac:dyDescent="0.2">
      <c r="A11"/>
      <c r="B11"/>
      <c r="C11" s="40"/>
      <c r="D11" s="41"/>
      <c r="E11" s="42"/>
      <c r="F11" s="20"/>
      <c r="G11" s="20"/>
      <c r="H11" s="19"/>
      <c r="I11" s="10"/>
      <c r="J11" s="10"/>
      <c r="K11" s="10"/>
      <c r="L11" s="10"/>
      <c r="M11" s="81"/>
    </row>
    <row r="12" spans="1:14" x14ac:dyDescent="0.2">
      <c r="A12"/>
      <c r="B12"/>
      <c r="C12" s="40"/>
      <c r="D12" s="41"/>
      <c r="E12" s="7"/>
      <c r="F12" s="20"/>
      <c r="G12" s="20"/>
      <c r="H12" s="19"/>
      <c r="I12" s="23"/>
      <c r="J12" s="14"/>
      <c r="K12" s="24"/>
      <c r="L12" s="10"/>
      <c r="M12" s="86"/>
    </row>
    <row r="13" spans="1:14" x14ac:dyDescent="0.2">
      <c r="A13"/>
      <c r="B13"/>
      <c r="C13" s="40"/>
      <c r="D13" s="41"/>
      <c r="E13" s="42"/>
      <c r="F13"/>
      <c r="G13"/>
      <c r="H13" s="19"/>
      <c r="I13" s="10"/>
      <c r="J13" s="10"/>
      <c r="K13" s="10"/>
      <c r="L13" s="10"/>
      <c r="M13" s="51"/>
    </row>
    <row r="14" spans="1:14" x14ac:dyDescent="0.2">
      <c r="A14"/>
      <c r="B14"/>
      <c r="C14" s="40"/>
      <c r="D14" s="41"/>
      <c r="E14" s="7"/>
      <c r="F14" s="20"/>
      <c r="G14" s="20"/>
      <c r="H14" s="19"/>
      <c r="I14" s="10"/>
      <c r="J14" s="10"/>
      <c r="K14" s="10"/>
      <c r="L14" s="10"/>
      <c r="M14" s="51"/>
    </row>
    <row r="15" spans="1:14" x14ac:dyDescent="0.2">
      <c r="A15"/>
      <c r="B15"/>
      <c r="C15" s="40"/>
      <c r="D15" s="41"/>
      <c r="E15" s="42"/>
      <c r="F15"/>
      <c r="G15"/>
      <c r="H15" s="19"/>
      <c r="I15" s="10"/>
      <c r="J15" s="10"/>
      <c r="K15" s="10"/>
      <c r="L15" s="10"/>
      <c r="M15" s="51"/>
    </row>
    <row r="16" spans="1:14" x14ac:dyDescent="0.2">
      <c r="A16"/>
      <c r="B16"/>
      <c r="C16" s="40"/>
      <c r="D16" s="41"/>
      <c r="E16" s="7"/>
      <c r="F16" s="20"/>
      <c r="G16" s="20"/>
      <c r="H16" s="19"/>
      <c r="I16" s="10"/>
      <c r="J16" s="10"/>
      <c r="K16" s="10"/>
      <c r="L16" s="10"/>
      <c r="M16" s="51"/>
    </row>
    <row r="17" spans="1:13" x14ac:dyDescent="0.2">
      <c r="A17"/>
      <c r="B17"/>
      <c r="C17" s="40"/>
      <c r="D17" s="41"/>
      <c r="E17" s="42"/>
      <c r="F17"/>
      <c r="G17"/>
      <c r="H17" s="19"/>
      <c r="I17" s="10"/>
      <c r="J17" s="10"/>
      <c r="K17" s="10"/>
      <c r="L17" s="10"/>
      <c r="M17" s="51"/>
    </row>
    <row r="18" spans="1:13" x14ac:dyDescent="0.2">
      <c r="A18"/>
      <c r="B18"/>
      <c r="C18" s="40"/>
      <c r="D18" s="41"/>
      <c r="E18" s="7"/>
      <c r="F18" s="20"/>
      <c r="G18" s="20"/>
      <c r="H18" s="19"/>
      <c r="I18" s="10"/>
      <c r="J18" s="10"/>
      <c r="K18" s="10"/>
      <c r="L18" s="10"/>
      <c r="M18" s="51"/>
    </row>
    <row r="19" spans="1:13" x14ac:dyDescent="0.2">
      <c r="A19"/>
      <c r="B19"/>
      <c r="C19" s="40"/>
      <c r="D19" s="41"/>
      <c r="E19" s="42"/>
      <c r="F19" s="20"/>
      <c r="G19" s="20"/>
      <c r="H19" s="19"/>
      <c r="I19" s="10"/>
      <c r="J19" s="10"/>
      <c r="K19" s="10"/>
      <c r="L19" s="10"/>
      <c r="M19" s="51"/>
    </row>
    <row r="20" spans="1:13" x14ac:dyDescent="0.2">
      <c r="A20"/>
      <c r="B20"/>
      <c r="C20" s="40"/>
      <c r="D20" s="41"/>
      <c r="E20" s="7"/>
      <c r="F20" s="20"/>
      <c r="G20" s="20"/>
      <c r="H20" s="19"/>
      <c r="I20" s="23"/>
      <c r="J20" s="14"/>
      <c r="K20" s="24"/>
      <c r="L20" s="10"/>
      <c r="M20" s="51"/>
    </row>
    <row r="21" spans="1:13" x14ac:dyDescent="0.2">
      <c r="A21"/>
      <c r="B21"/>
      <c r="C21" s="40"/>
      <c r="D21" s="41"/>
      <c r="E21" s="42"/>
      <c r="F21"/>
      <c r="G21"/>
      <c r="H21" s="19"/>
      <c r="I21" s="10"/>
      <c r="J21" s="10"/>
      <c r="K21" s="10"/>
      <c r="L21" s="10"/>
      <c r="M21" s="45"/>
    </row>
    <row r="22" spans="1:13" x14ac:dyDescent="0.2">
      <c r="A22"/>
      <c r="B22"/>
      <c r="C22" s="40"/>
      <c r="D22" s="41"/>
      <c r="E22" s="7"/>
      <c r="F22" s="20"/>
      <c r="G22" s="20"/>
      <c r="H22" s="19"/>
      <c r="I22" s="10"/>
      <c r="J22" s="10"/>
      <c r="K22" s="10"/>
      <c r="L22" s="10"/>
      <c r="M22" s="45"/>
    </row>
    <row r="23" spans="1:13" x14ac:dyDescent="0.2">
      <c r="A23"/>
      <c r="B23"/>
      <c r="C23" s="40"/>
      <c r="D23" s="41"/>
      <c r="E23" s="42"/>
      <c r="F23" s="20"/>
      <c r="G23" s="20"/>
      <c r="H23" s="19"/>
      <c r="I23" s="10"/>
      <c r="J23" s="10"/>
      <c r="K23" s="10"/>
      <c r="L23" s="10"/>
      <c r="M23" s="46"/>
    </row>
    <row r="24" spans="1:13" x14ac:dyDescent="0.2">
      <c r="A24"/>
      <c r="B24"/>
      <c r="C24" s="40"/>
      <c r="D24" s="41"/>
      <c r="E24" s="7"/>
      <c r="F24" s="20"/>
      <c r="G24" s="20"/>
      <c r="H24" s="19"/>
      <c r="I24" s="23"/>
      <c r="J24" s="14"/>
      <c r="K24" s="24"/>
      <c r="L24" s="10"/>
      <c r="M24" s="45"/>
    </row>
    <row r="25" spans="1:13" x14ac:dyDescent="0.2">
      <c r="A25"/>
      <c r="B25"/>
      <c r="C25" s="40"/>
      <c r="D25" s="41"/>
      <c r="E25" s="42"/>
      <c r="F25"/>
      <c r="G25"/>
      <c r="H25" s="19"/>
      <c r="I25" s="10"/>
      <c r="J25" s="10"/>
      <c r="K25" s="10"/>
      <c r="L25" s="10"/>
      <c r="M25" s="45"/>
    </row>
    <row r="26" spans="1:13" x14ac:dyDescent="0.2">
      <c r="A26"/>
      <c r="B26"/>
      <c r="C26" s="40"/>
      <c r="D26" s="41"/>
      <c r="E26" s="7"/>
      <c r="F26" s="20"/>
      <c r="G26" s="20"/>
      <c r="H26" s="19"/>
      <c r="I26" s="10"/>
      <c r="J26" s="10"/>
      <c r="K26" s="10"/>
      <c r="L26" s="10"/>
      <c r="M26" s="45"/>
    </row>
    <row r="27" spans="1:13" x14ac:dyDescent="0.2">
      <c r="A27"/>
      <c r="B27"/>
      <c r="C27" s="40"/>
      <c r="D27" s="41"/>
      <c r="E27" s="42"/>
      <c r="F27" s="20"/>
      <c r="G27" s="20"/>
      <c r="H27" s="19"/>
      <c r="I27" s="10"/>
      <c r="J27" s="10"/>
      <c r="K27" s="10"/>
      <c r="L27" s="10"/>
      <c r="M27" s="46"/>
    </row>
    <row r="28" spans="1:13" x14ac:dyDescent="0.2">
      <c r="A28"/>
      <c r="B28"/>
      <c r="C28" s="40"/>
      <c r="D28" s="41"/>
      <c r="E28" s="7"/>
      <c r="F28" s="20"/>
      <c r="G28" s="20"/>
      <c r="H28" s="19"/>
      <c r="I28" s="23"/>
      <c r="J28" s="14"/>
      <c r="K28" s="24"/>
      <c r="L28" s="10"/>
      <c r="M28" s="45"/>
    </row>
    <row r="29" spans="1:13" x14ac:dyDescent="0.2">
      <c r="A29"/>
      <c r="B29"/>
      <c r="C29" s="40"/>
      <c r="D29" s="41"/>
      <c r="E29" s="42"/>
      <c r="F29"/>
      <c r="G29"/>
      <c r="H29" s="19"/>
      <c r="I29" s="10"/>
      <c r="J29" s="10"/>
      <c r="K29" s="10"/>
      <c r="L29" s="10"/>
      <c r="M29" s="45"/>
    </row>
    <row r="30" spans="1:13" x14ac:dyDescent="0.2">
      <c r="A30"/>
      <c r="B30"/>
      <c r="C30" s="40"/>
      <c r="D30" s="41"/>
      <c r="E30" s="7"/>
      <c r="F30" s="20"/>
      <c r="G30" s="20"/>
      <c r="H30" s="19"/>
      <c r="I30" s="10"/>
      <c r="J30" s="10"/>
      <c r="K30" s="10"/>
      <c r="L30" s="10"/>
      <c r="M30" s="45"/>
    </row>
    <row r="31" spans="1:13" x14ac:dyDescent="0.2">
      <c r="A31"/>
      <c r="B31"/>
      <c r="C31" s="40"/>
      <c r="D31" s="41"/>
      <c r="E31" s="42"/>
      <c r="F31" s="20"/>
      <c r="G31" s="20"/>
      <c r="H31" s="10"/>
      <c r="I31" s="10"/>
      <c r="J31" s="10"/>
      <c r="K31" s="10"/>
      <c r="L31" s="10"/>
      <c r="M31" s="51"/>
    </row>
    <row r="32" spans="1:13" x14ac:dyDescent="0.2">
      <c r="A32"/>
      <c r="B32"/>
      <c r="C32" s="40"/>
      <c r="D32" s="41"/>
      <c r="E32" s="7"/>
      <c r="F32" s="20"/>
      <c r="G32" s="20"/>
      <c r="H32" s="19"/>
      <c r="I32" s="23"/>
      <c r="J32" s="14"/>
      <c r="K32" s="24"/>
      <c r="L32" s="10"/>
      <c r="M32" s="51"/>
    </row>
    <row r="33" spans="1:13" x14ac:dyDescent="0.2">
      <c r="A33"/>
      <c r="B33"/>
      <c r="C33" s="40"/>
      <c r="D33" s="41"/>
      <c r="E33" s="42"/>
      <c r="F33"/>
      <c r="G33"/>
      <c r="H33" s="19"/>
      <c r="I33" s="10"/>
      <c r="J33" s="10"/>
      <c r="K33" s="10"/>
      <c r="L33" s="10"/>
      <c r="M33" s="45"/>
    </row>
    <row r="34" spans="1:13" x14ac:dyDescent="0.2">
      <c r="A34"/>
      <c r="B34"/>
      <c r="C34" s="40"/>
      <c r="D34" s="41"/>
      <c r="E34" s="7"/>
      <c r="F34" s="20"/>
      <c r="G34" s="20"/>
      <c r="H34" s="19"/>
      <c r="I34" s="10"/>
      <c r="J34" s="10"/>
      <c r="K34" s="10"/>
      <c r="L34" s="10"/>
      <c r="M34" s="45"/>
    </row>
    <row r="35" spans="1:13" x14ac:dyDescent="0.2">
      <c r="A35"/>
      <c r="B35"/>
      <c r="C35" s="40"/>
      <c r="D35" s="41"/>
      <c r="E35" s="42"/>
      <c r="F35" s="20"/>
      <c r="G35" s="20"/>
      <c r="H35" s="55"/>
      <c r="I35" s="10"/>
      <c r="J35" s="10"/>
      <c r="K35" s="10"/>
      <c r="L35" s="10"/>
      <c r="M35" s="54"/>
    </row>
    <row r="36" spans="1:13" x14ac:dyDescent="0.2">
      <c r="A36"/>
      <c r="B36"/>
      <c r="C36" s="40"/>
      <c r="D36" s="41"/>
      <c r="E36" s="7"/>
      <c r="F36" s="20"/>
      <c r="G36" s="20"/>
      <c r="H36" s="56"/>
      <c r="I36" s="23"/>
      <c r="J36" s="14"/>
      <c r="K36" s="24"/>
      <c r="L36" s="10"/>
      <c r="M36" s="44"/>
    </row>
    <row r="37" spans="1:13" x14ac:dyDescent="0.2">
      <c r="A37"/>
      <c r="B37"/>
      <c r="C37" s="40"/>
      <c r="D37" s="41"/>
      <c r="E37" s="42"/>
      <c r="F37" s="20"/>
      <c r="G37" s="20"/>
      <c r="H37" s="56"/>
      <c r="I37" s="10"/>
      <c r="J37" s="10"/>
      <c r="K37" s="10"/>
      <c r="L37" s="10"/>
      <c r="M37" s="44"/>
    </row>
    <row r="38" spans="1:13" x14ac:dyDescent="0.2">
      <c r="A38"/>
      <c r="B38"/>
      <c r="C38" s="40"/>
      <c r="D38" s="41"/>
      <c r="E38" s="7"/>
      <c r="F38" s="20"/>
      <c r="G38" s="20"/>
      <c r="H38" s="56"/>
      <c r="I38" s="10"/>
      <c r="J38" s="10"/>
      <c r="K38" s="10"/>
      <c r="L38" s="10"/>
      <c r="M38" s="44"/>
    </row>
    <row r="39" spans="1:13" x14ac:dyDescent="0.2">
      <c r="A39"/>
      <c r="B39"/>
      <c r="C39" s="40"/>
      <c r="D39" s="41"/>
      <c r="E39" s="42"/>
      <c r="F39" s="20"/>
      <c r="G39" s="20"/>
      <c r="H39" s="55"/>
      <c r="I39" s="10"/>
      <c r="J39" s="10"/>
      <c r="K39" s="10"/>
      <c r="L39" s="10"/>
      <c r="M39" s="54"/>
    </row>
    <row r="40" spans="1:13" x14ac:dyDescent="0.2">
      <c r="A40"/>
      <c r="B40"/>
      <c r="C40" s="40"/>
      <c r="D40" s="41"/>
      <c r="E40" s="7"/>
      <c r="F40" s="20"/>
      <c r="G40" s="20"/>
      <c r="H40" s="56"/>
      <c r="I40" s="23"/>
      <c r="J40" s="14"/>
      <c r="K40" s="24"/>
      <c r="L40" s="10"/>
      <c r="M40" s="44"/>
    </row>
    <row r="41" spans="1:13" x14ac:dyDescent="0.2">
      <c r="A41"/>
      <c r="B41"/>
      <c r="C41" s="40"/>
      <c r="D41" s="41"/>
      <c r="E41" s="42"/>
      <c r="F41" s="20"/>
      <c r="G41" s="20"/>
      <c r="H41" s="56"/>
      <c r="I41" s="10"/>
      <c r="J41" s="10"/>
      <c r="K41" s="10"/>
      <c r="L41" s="10"/>
      <c r="M41" s="44"/>
    </row>
    <row r="42" spans="1:13" x14ac:dyDescent="0.2">
      <c r="A42"/>
      <c r="B42"/>
      <c r="C42" s="40"/>
      <c r="D42" s="41"/>
      <c r="E42" s="7"/>
      <c r="F42" s="20"/>
      <c r="G42" s="20"/>
      <c r="H42" s="56"/>
      <c r="I42" s="10"/>
      <c r="J42" s="10"/>
      <c r="K42" s="10"/>
      <c r="L42" s="10"/>
      <c r="M42" s="44"/>
    </row>
    <row r="43" spans="1:13" x14ac:dyDescent="0.2">
      <c r="A43"/>
      <c r="B43"/>
      <c r="C43" s="40"/>
      <c r="D43" s="41"/>
      <c r="E43" s="42"/>
      <c r="F43" s="20"/>
      <c r="G43" s="20"/>
      <c r="H43" s="55"/>
      <c r="I43" s="10"/>
      <c r="J43" s="10"/>
      <c r="K43" s="10"/>
      <c r="L43" s="10"/>
      <c r="M43" s="54"/>
    </row>
    <row r="44" spans="1:13" x14ac:dyDescent="0.2">
      <c r="A44"/>
      <c r="B44"/>
      <c r="C44" s="40"/>
      <c r="D44" s="41"/>
      <c r="E44" s="7"/>
      <c r="F44" s="20"/>
      <c r="G44" s="20"/>
      <c r="H44" s="56"/>
      <c r="I44" s="23"/>
      <c r="J44" s="14"/>
      <c r="K44" s="24"/>
      <c r="L44" s="10"/>
      <c r="M44" s="44"/>
    </row>
    <row r="45" spans="1:13" x14ac:dyDescent="0.2">
      <c r="A45"/>
      <c r="B45"/>
      <c r="C45" s="40"/>
      <c r="D45" s="41"/>
      <c r="E45" s="42"/>
      <c r="F45" s="20"/>
      <c r="G45" s="20"/>
      <c r="H45" s="56"/>
      <c r="I45" s="10"/>
      <c r="J45" s="10"/>
      <c r="K45" s="10"/>
      <c r="L45" s="10"/>
      <c r="M45" s="44"/>
    </row>
    <row r="46" spans="1:13" x14ac:dyDescent="0.2">
      <c r="A46"/>
      <c r="B46"/>
      <c r="C46" s="40"/>
      <c r="D46" s="41"/>
      <c r="E46" s="7"/>
      <c r="F46" s="20"/>
      <c r="G46" s="20"/>
      <c r="H46" s="56"/>
      <c r="I46" s="10"/>
      <c r="J46" s="10"/>
      <c r="K46" s="10"/>
      <c r="L46" s="10"/>
      <c r="M46" s="44"/>
    </row>
    <row r="47" spans="1:13" x14ac:dyDescent="0.2">
      <c r="A47"/>
      <c r="B47"/>
      <c r="C47" s="40"/>
      <c r="D47" s="41"/>
      <c r="E47" s="42"/>
      <c r="F47" s="20"/>
      <c r="G47" s="20"/>
      <c r="H47" s="55"/>
      <c r="I47" s="10"/>
      <c r="J47" s="10"/>
      <c r="K47" s="10"/>
      <c r="L47" s="10"/>
      <c r="M47" s="89"/>
    </row>
    <row r="48" spans="1:13" x14ac:dyDescent="0.2">
      <c r="A48"/>
      <c r="B48"/>
      <c r="C48" s="40"/>
      <c r="D48" s="41"/>
      <c r="E48" s="7"/>
      <c r="F48" s="20"/>
      <c r="G48" s="20"/>
      <c r="H48" s="56"/>
      <c r="I48" s="23"/>
      <c r="J48" s="14"/>
      <c r="K48" s="24"/>
      <c r="L48" s="10"/>
      <c r="M48" s="44"/>
    </row>
    <row r="49" spans="1:14" x14ac:dyDescent="0.2">
      <c r="A49"/>
      <c r="B49"/>
      <c r="C49" s="40"/>
      <c r="D49" s="41"/>
      <c r="E49" s="42"/>
      <c r="F49" s="20"/>
      <c r="G49" s="20"/>
      <c r="H49" s="56"/>
      <c r="I49" s="10"/>
      <c r="J49" s="10"/>
      <c r="K49" s="10"/>
      <c r="L49" s="10"/>
      <c r="M49" s="44"/>
    </row>
    <row r="50" spans="1:14" x14ac:dyDescent="0.2">
      <c r="A50"/>
      <c r="B50"/>
      <c r="C50" s="40"/>
      <c r="D50" s="41"/>
      <c r="E50" s="7"/>
      <c r="F50" s="20"/>
      <c r="G50" s="20"/>
      <c r="H50" s="56"/>
      <c r="I50" s="10"/>
      <c r="J50" s="10"/>
      <c r="K50" s="10"/>
      <c r="L50" s="10"/>
      <c r="M50" s="44"/>
    </row>
    <row r="51" spans="1:14" x14ac:dyDescent="0.2">
      <c r="A51"/>
      <c r="B51"/>
      <c r="C51" s="40"/>
      <c r="D51" s="41"/>
      <c r="E51" s="42"/>
      <c r="F51" s="20"/>
      <c r="G51" s="20"/>
      <c r="H51" s="56"/>
      <c r="I51" s="10"/>
      <c r="J51" s="10"/>
      <c r="K51" s="10"/>
      <c r="L51" s="10"/>
      <c r="M51" s="54"/>
    </row>
    <row r="52" spans="1:14" x14ac:dyDescent="0.2">
      <c r="A52"/>
      <c r="B52"/>
      <c r="C52" s="40"/>
      <c r="D52" s="41"/>
      <c r="E52" s="7"/>
      <c r="F52" s="20"/>
      <c r="G52" s="20"/>
      <c r="H52" s="56"/>
      <c r="I52" s="23"/>
      <c r="J52" s="14"/>
      <c r="K52" s="24"/>
      <c r="L52" s="10"/>
      <c r="M52" s="44"/>
    </row>
    <row r="53" spans="1:14" x14ac:dyDescent="0.2">
      <c r="A53"/>
      <c r="B53"/>
      <c r="C53" s="40"/>
      <c r="D53" s="41"/>
      <c r="E53" s="42"/>
      <c r="F53" s="20"/>
      <c r="G53" s="20"/>
      <c r="H53" s="56"/>
      <c r="I53" s="10"/>
      <c r="J53" s="10"/>
      <c r="K53" s="10"/>
      <c r="L53" s="10"/>
      <c r="M53" s="44"/>
    </row>
    <row r="54" spans="1:14" x14ac:dyDescent="0.2">
      <c r="A54"/>
      <c r="B54"/>
      <c r="C54" s="40"/>
      <c r="D54" s="41"/>
      <c r="E54" s="7"/>
      <c r="F54" s="20"/>
      <c r="G54" s="20"/>
      <c r="H54" s="56"/>
      <c r="I54" s="10"/>
      <c r="J54" s="10"/>
      <c r="K54" s="10"/>
      <c r="L54" s="10"/>
      <c r="M54" s="102"/>
    </row>
    <row r="55" spans="1:14" s="39" customFormat="1" x14ac:dyDescent="0.2">
      <c r="A55" s="20"/>
      <c r="B55" s="20"/>
      <c r="C55" s="40"/>
      <c r="D55" s="41"/>
      <c r="E55" s="42"/>
      <c r="F55" s="20"/>
      <c r="G55" s="20"/>
      <c r="H55" s="56"/>
      <c r="I55" s="19"/>
      <c r="J55" s="19"/>
      <c r="K55" s="19"/>
      <c r="L55" s="19"/>
      <c r="M55" s="44"/>
      <c r="N55" s="60"/>
    </row>
    <row r="56" spans="1:14" s="39" customFormat="1" x14ac:dyDescent="0.2">
      <c r="A56" s="20"/>
      <c r="B56" s="20"/>
      <c r="C56" s="40"/>
      <c r="D56" s="41"/>
      <c r="E56" s="42"/>
      <c r="F56" s="20"/>
      <c r="G56" s="20"/>
      <c r="H56" s="56"/>
      <c r="I56" s="35"/>
      <c r="J56" s="60"/>
      <c r="K56" s="84"/>
      <c r="L56" s="19"/>
      <c r="M56" s="44"/>
      <c r="N56" s="60"/>
    </row>
    <row r="57" spans="1:14" s="39" customFormat="1" x14ac:dyDescent="0.2">
      <c r="A57" s="20"/>
      <c r="B57" s="20"/>
      <c r="C57" s="40"/>
      <c r="D57" s="41"/>
      <c r="E57" s="42"/>
      <c r="F57" s="20"/>
      <c r="G57" s="20"/>
      <c r="H57" s="56"/>
      <c r="I57" s="19"/>
      <c r="J57" s="19"/>
      <c r="K57" s="19"/>
      <c r="L57" s="19"/>
      <c r="M57" s="44"/>
      <c r="N57" s="60"/>
    </row>
    <row r="58" spans="1:14" s="39" customFormat="1" x14ac:dyDescent="0.2">
      <c r="A58" s="20"/>
      <c r="B58" s="20"/>
      <c r="C58" s="40"/>
      <c r="D58" s="41"/>
      <c r="E58" s="42"/>
      <c r="F58" s="20"/>
      <c r="G58" s="20"/>
      <c r="H58" s="56"/>
      <c r="I58" s="19"/>
      <c r="J58" s="19"/>
      <c r="K58" s="19"/>
      <c r="L58" s="19"/>
      <c r="M58" s="44"/>
      <c r="N58" s="60"/>
    </row>
    <row r="59" spans="1:14" x14ac:dyDescent="0.2">
      <c r="A59" s="20"/>
      <c r="B59" s="20"/>
      <c r="C59" s="40"/>
      <c r="D59" s="41"/>
      <c r="E59" s="42"/>
      <c r="F59" s="20"/>
      <c r="G59" s="20"/>
      <c r="H59" s="56"/>
      <c r="I59" s="19"/>
      <c r="J59" s="19"/>
      <c r="K59" s="19"/>
      <c r="L59" s="19"/>
      <c r="M59" s="44"/>
    </row>
    <row r="60" spans="1:14" x14ac:dyDescent="0.2">
      <c r="A60" s="20"/>
      <c r="B60" s="20"/>
      <c r="C60" s="40"/>
      <c r="D60" s="41"/>
      <c r="E60" s="42"/>
      <c r="F60" s="20"/>
      <c r="G60" s="20"/>
      <c r="H60" s="56"/>
      <c r="I60" s="35"/>
      <c r="J60" s="60"/>
      <c r="K60" s="84"/>
      <c r="L60" s="19"/>
      <c r="M60" s="50"/>
    </row>
    <row r="61" spans="1:14" x14ac:dyDescent="0.2">
      <c r="A61" s="20"/>
      <c r="B61" s="20"/>
      <c r="C61" s="40"/>
      <c r="D61" s="41"/>
      <c r="E61" s="42"/>
      <c r="F61" s="20"/>
      <c r="G61" s="20"/>
      <c r="H61" s="56"/>
      <c r="I61" s="19"/>
      <c r="J61" s="19"/>
      <c r="K61" s="19"/>
      <c r="L61" s="19"/>
      <c r="M61" s="44"/>
    </row>
    <row r="62" spans="1:14" x14ac:dyDescent="0.2">
      <c r="A62" s="20"/>
      <c r="B62" s="20"/>
      <c r="C62" s="40"/>
      <c r="D62" s="41"/>
      <c r="E62" s="42"/>
      <c r="F62" s="20"/>
      <c r="G62" s="20"/>
      <c r="H62" s="56"/>
      <c r="I62" s="19"/>
      <c r="J62" s="19"/>
      <c r="K62" s="19"/>
      <c r="L62" s="19"/>
      <c r="M62" s="44"/>
    </row>
    <row r="63" spans="1:14" x14ac:dyDescent="0.2">
      <c r="A63" s="20"/>
      <c r="B63" s="20"/>
      <c r="C63" s="40"/>
      <c r="D63" s="41"/>
      <c r="E63" s="42"/>
      <c r="F63" s="20"/>
      <c r="G63" s="20"/>
      <c r="H63" s="56"/>
      <c r="I63" s="19"/>
      <c r="J63" s="19"/>
      <c r="K63" s="19"/>
      <c r="L63" s="19"/>
      <c r="M63" s="44"/>
    </row>
    <row r="64" spans="1:14" x14ac:dyDescent="0.2">
      <c r="A64" s="20"/>
      <c r="B64" s="20"/>
      <c r="C64" s="40"/>
      <c r="D64" s="41"/>
      <c r="E64" s="42"/>
      <c r="F64" s="20"/>
      <c r="G64" s="20"/>
      <c r="H64" s="56"/>
      <c r="I64" s="35"/>
      <c r="J64" s="60"/>
      <c r="K64" s="84"/>
      <c r="L64" s="19"/>
      <c r="M64" s="50"/>
    </row>
    <row r="65" spans="1:13" x14ac:dyDescent="0.2">
      <c r="A65" s="20"/>
      <c r="B65" s="20"/>
      <c r="C65" s="40"/>
      <c r="D65" s="41"/>
      <c r="E65" s="42"/>
      <c r="F65" s="20"/>
      <c r="G65" s="20"/>
      <c r="H65" s="56"/>
      <c r="I65" s="19"/>
      <c r="J65" s="19"/>
      <c r="K65" s="19"/>
      <c r="L65" s="19"/>
      <c r="M65" s="44"/>
    </row>
    <row r="66" spans="1:13" x14ac:dyDescent="0.2">
      <c r="A66" s="20"/>
      <c r="B66" s="20"/>
      <c r="C66" s="40"/>
      <c r="D66" s="41"/>
      <c r="E66" s="42"/>
      <c r="F66" s="20"/>
      <c r="G66" s="20"/>
      <c r="H66" s="56"/>
      <c r="I66" s="19"/>
      <c r="J66" s="19"/>
      <c r="K66" s="19"/>
      <c r="L66" s="19"/>
      <c r="M66" s="44"/>
    </row>
    <row r="67" spans="1:13" x14ac:dyDescent="0.2">
      <c r="A67" s="20"/>
      <c r="B67" s="20"/>
      <c r="C67" s="40"/>
      <c r="D67" s="41"/>
      <c r="E67" s="42"/>
      <c r="F67" s="20"/>
      <c r="G67" s="20"/>
      <c r="H67" s="56"/>
      <c r="I67" s="19"/>
      <c r="J67" s="19"/>
      <c r="K67" s="19"/>
      <c r="L67" s="19"/>
      <c r="M67" s="44"/>
    </row>
    <row r="68" spans="1:13" x14ac:dyDescent="0.2">
      <c r="A68" s="20"/>
      <c r="B68" s="20"/>
      <c r="C68" s="40"/>
      <c r="D68" s="41"/>
      <c r="E68" s="42"/>
      <c r="F68" s="20"/>
      <c r="G68" s="20"/>
      <c r="H68" s="56"/>
      <c r="I68" s="35"/>
      <c r="J68" s="60"/>
      <c r="K68" s="84"/>
      <c r="L68" s="19"/>
      <c r="M68" s="50"/>
    </row>
    <row r="69" spans="1:13" x14ac:dyDescent="0.2">
      <c r="A69" s="20"/>
      <c r="B69" s="20"/>
      <c r="C69" s="40"/>
      <c r="D69" s="41"/>
      <c r="E69" s="42"/>
      <c r="F69" s="20"/>
      <c r="G69" s="20"/>
      <c r="H69" s="56"/>
      <c r="I69" s="19"/>
      <c r="J69" s="19"/>
      <c r="K69" s="19"/>
      <c r="L69" s="19"/>
      <c r="M69" s="44"/>
    </row>
    <row r="70" spans="1:13" x14ac:dyDescent="0.2">
      <c r="A70" s="20"/>
      <c r="B70" s="20"/>
      <c r="C70" s="40"/>
      <c r="D70" s="41"/>
      <c r="E70" s="42"/>
      <c r="F70" s="20"/>
      <c r="G70" s="20"/>
      <c r="H70" s="56"/>
      <c r="I70" s="19"/>
      <c r="J70" s="19"/>
      <c r="K70" s="19"/>
      <c r="L70" s="19"/>
      <c r="M70" s="103"/>
    </row>
    <row r="71" spans="1:13" x14ac:dyDescent="0.2">
      <c r="A71" s="20"/>
      <c r="B71" s="20"/>
      <c r="C71" s="40"/>
      <c r="D71" s="41"/>
      <c r="E71" s="42"/>
      <c r="F71" s="20"/>
      <c r="G71" s="20"/>
      <c r="H71" s="56"/>
      <c r="I71" s="19"/>
      <c r="J71" s="19"/>
      <c r="K71" s="19"/>
      <c r="L71" s="19"/>
      <c r="M71" s="44"/>
    </row>
    <row r="72" spans="1:13" x14ac:dyDescent="0.2">
      <c r="A72" s="20"/>
      <c r="B72" s="20"/>
      <c r="C72" s="40"/>
      <c r="D72" s="41"/>
      <c r="E72" s="42"/>
      <c r="F72" s="20"/>
      <c r="G72" s="20"/>
      <c r="H72" s="56"/>
      <c r="I72" s="35"/>
      <c r="J72" s="60"/>
      <c r="K72" s="84"/>
      <c r="L72" s="19"/>
      <c r="M72" s="50"/>
    </row>
    <row r="73" spans="1:13" x14ac:dyDescent="0.2">
      <c r="A73" s="20"/>
      <c r="B73" s="20"/>
      <c r="C73" s="40"/>
      <c r="D73" s="41"/>
      <c r="E73" s="42"/>
      <c r="F73" s="20"/>
      <c r="G73" s="20"/>
      <c r="H73" s="56"/>
      <c r="I73" s="19"/>
      <c r="J73" s="19"/>
      <c r="K73" s="19"/>
      <c r="L73" s="19"/>
      <c r="M73" s="44"/>
    </row>
    <row r="74" spans="1:13" x14ac:dyDescent="0.2">
      <c r="A74" s="20"/>
      <c r="B74" s="20"/>
      <c r="C74" s="40"/>
      <c r="D74" s="41"/>
      <c r="E74" s="42"/>
      <c r="F74" s="20"/>
      <c r="G74" s="20"/>
      <c r="H74" s="56"/>
      <c r="I74" s="19"/>
      <c r="J74" s="19"/>
      <c r="K74" s="19"/>
      <c r="L74" s="19"/>
      <c r="M74" s="103"/>
    </row>
    <row r="75" spans="1:13" x14ac:dyDescent="0.2">
      <c r="A75"/>
      <c r="B75"/>
      <c r="C75" s="5"/>
      <c r="D75"/>
      <c r="E75" s="7"/>
      <c r="F75"/>
      <c r="G75"/>
      <c r="H75" s="56"/>
      <c r="I75" s="10"/>
      <c r="J75" s="10"/>
      <c r="K75" s="10"/>
      <c r="L75" s="10"/>
      <c r="M75" s="51"/>
    </row>
    <row r="76" spans="1:13" x14ac:dyDescent="0.2">
      <c r="A76"/>
      <c r="B76"/>
      <c r="C76" s="5"/>
      <c r="D76"/>
      <c r="E76" s="7"/>
      <c r="F76"/>
      <c r="G76"/>
      <c r="H76" s="56"/>
      <c r="I76" s="35"/>
      <c r="J76" s="60"/>
      <c r="K76" s="84"/>
      <c r="L76" s="10"/>
      <c r="M76" s="51"/>
    </row>
    <row r="77" spans="1:13" x14ac:dyDescent="0.2">
      <c r="A77"/>
      <c r="B77"/>
      <c r="C77" s="5"/>
      <c r="D77"/>
      <c r="E77" s="7"/>
      <c r="F77"/>
      <c r="G77"/>
      <c r="H77" s="10"/>
      <c r="I77" s="10"/>
      <c r="J77" s="10"/>
      <c r="K77" s="10"/>
      <c r="L77" s="10"/>
      <c r="M77" s="51"/>
    </row>
    <row r="78" spans="1:13" x14ac:dyDescent="0.2">
      <c r="A78"/>
      <c r="B78"/>
      <c r="C78" s="5"/>
      <c r="D78"/>
      <c r="E78" s="7"/>
      <c r="F78"/>
      <c r="G78"/>
      <c r="H78" s="10"/>
      <c r="I78" s="10"/>
      <c r="J78" s="10"/>
      <c r="K78" s="10"/>
      <c r="L78" s="10"/>
      <c r="M78" s="51"/>
    </row>
    <row r="79" spans="1:13" ht="12.75" customHeight="1" x14ac:dyDescent="0.2">
      <c r="A79"/>
      <c r="B79"/>
      <c r="C79" s="5"/>
      <c r="D79"/>
      <c r="E79" s="7"/>
      <c r="F79"/>
      <c r="G79"/>
      <c r="H79" s="56"/>
      <c r="I79" s="10"/>
      <c r="J79" s="10"/>
      <c r="K79" s="10"/>
      <c r="L79" s="10"/>
      <c r="M79" s="51"/>
    </row>
    <row r="80" spans="1:13" ht="12.75" customHeight="1" x14ac:dyDescent="0.2">
      <c r="A80"/>
      <c r="B80"/>
      <c r="C80" s="5"/>
      <c r="D80"/>
      <c r="E80" s="7"/>
      <c r="F80"/>
      <c r="G80"/>
      <c r="H80" s="56"/>
      <c r="I80" s="35"/>
      <c r="J80" s="60"/>
      <c r="K80" s="84"/>
      <c r="L80" s="10"/>
      <c r="M80" s="51"/>
    </row>
    <row r="81" spans="1:13" x14ac:dyDescent="0.2">
      <c r="A81"/>
      <c r="B81"/>
      <c r="C81" s="5"/>
      <c r="D81"/>
      <c r="E81" s="7"/>
      <c r="F81"/>
      <c r="G81"/>
      <c r="H81" s="10"/>
      <c r="I81" s="10"/>
      <c r="J81" s="10"/>
      <c r="K81" s="10"/>
      <c r="L81" s="10"/>
      <c r="M81" s="51"/>
    </row>
    <row r="82" spans="1:13" x14ac:dyDescent="0.2">
      <c r="A82"/>
      <c r="B82"/>
      <c r="C82" s="5"/>
      <c r="D82"/>
      <c r="E82" s="7"/>
      <c r="F82"/>
      <c r="G82"/>
      <c r="H82" s="10"/>
      <c r="I82" s="10"/>
      <c r="J82" s="10"/>
      <c r="K82" s="10"/>
      <c r="L82" s="10"/>
      <c r="M82" s="103"/>
    </row>
    <row r="83" spans="1:13" x14ac:dyDescent="0.2">
      <c r="A83"/>
      <c r="B83"/>
      <c r="C83" s="5"/>
      <c r="D83"/>
      <c r="E83" s="7"/>
      <c r="F83"/>
      <c r="G83"/>
      <c r="H83" s="56"/>
      <c r="I83" s="10"/>
      <c r="J83" s="10"/>
      <c r="K83" s="10"/>
      <c r="L83" s="10"/>
      <c r="M83" s="51"/>
    </row>
    <row r="84" spans="1:13" x14ac:dyDescent="0.2">
      <c r="A84"/>
      <c r="B84"/>
      <c r="C84" s="5"/>
      <c r="D84"/>
      <c r="E84" s="7"/>
      <c r="F84"/>
      <c r="G84"/>
      <c r="H84" s="56"/>
      <c r="I84" s="35"/>
      <c r="J84" s="60"/>
      <c r="K84" s="84"/>
      <c r="L84" s="10"/>
      <c r="M84" s="51"/>
    </row>
    <row r="85" spans="1:13" x14ac:dyDescent="0.2">
      <c r="A85"/>
      <c r="B85"/>
      <c r="C85" s="5"/>
      <c r="D85"/>
      <c r="E85" s="7"/>
      <c r="F85"/>
      <c r="G85"/>
      <c r="H85" s="101"/>
      <c r="I85" s="10"/>
      <c r="J85" s="10"/>
      <c r="K85" s="10"/>
      <c r="L85" s="10"/>
      <c r="M85" s="51"/>
    </row>
    <row r="86" spans="1:13" x14ac:dyDescent="0.2">
      <c r="A86"/>
      <c r="B86"/>
      <c r="C86" s="5"/>
      <c r="D86"/>
      <c r="E86" s="7"/>
      <c r="F86"/>
      <c r="G86"/>
      <c r="H86" s="57"/>
      <c r="I86" s="10"/>
      <c r="J86" s="10"/>
      <c r="K86" s="10"/>
      <c r="L86" s="10"/>
      <c r="M86" s="103"/>
    </row>
    <row r="87" spans="1:13" x14ac:dyDescent="0.2">
      <c r="A87"/>
      <c r="B87"/>
      <c r="C87" s="5"/>
      <c r="D87"/>
      <c r="E87" s="7"/>
      <c r="F87"/>
      <c r="G87"/>
      <c r="H87" s="62"/>
      <c r="I87" s="10"/>
      <c r="J87" s="10"/>
      <c r="K87" s="10"/>
      <c r="L87" s="10"/>
      <c r="M87" s="51"/>
    </row>
    <row r="88" spans="1:13" x14ac:dyDescent="0.2">
      <c r="A88"/>
      <c r="B88"/>
      <c r="C88" s="5"/>
      <c r="D88"/>
      <c r="E88" s="7"/>
      <c r="F88"/>
      <c r="G88"/>
      <c r="H88" s="62"/>
      <c r="I88" s="35"/>
      <c r="J88" s="60"/>
      <c r="K88" s="84"/>
      <c r="L88" s="10"/>
      <c r="M88" s="51"/>
    </row>
    <row r="89" spans="1:13" x14ac:dyDescent="0.2">
      <c r="A89"/>
      <c r="B89"/>
      <c r="C89" s="5"/>
      <c r="D89"/>
      <c r="E89" s="7"/>
      <c r="F89"/>
      <c r="G89"/>
      <c r="H89" s="101"/>
      <c r="I89" s="10"/>
      <c r="J89" s="10"/>
      <c r="K89" s="10"/>
      <c r="L89" s="10"/>
      <c r="M89" s="51"/>
    </row>
    <row r="90" spans="1:13" x14ac:dyDescent="0.2">
      <c r="A90"/>
      <c r="B90"/>
      <c r="C90" s="5"/>
      <c r="D90"/>
      <c r="E90" s="7"/>
      <c r="F90"/>
      <c r="G90"/>
      <c r="H90" s="57"/>
      <c r="I90" s="10"/>
      <c r="J90" s="10"/>
      <c r="K90" s="10"/>
      <c r="L90" s="10"/>
      <c r="M90" s="103"/>
    </row>
    <row r="91" spans="1:13" x14ac:dyDescent="0.2">
      <c r="A91"/>
      <c r="B91"/>
      <c r="C91" s="5"/>
      <c r="D91"/>
      <c r="E91" s="7"/>
      <c r="F91"/>
      <c r="G91"/>
      <c r="H91" s="62"/>
      <c r="I91" s="10"/>
      <c r="J91" s="10"/>
      <c r="K91" s="10"/>
      <c r="L91" s="10"/>
      <c r="M91" s="51"/>
    </row>
    <row r="92" spans="1:13" x14ac:dyDescent="0.2">
      <c r="A92"/>
      <c r="B92"/>
      <c r="C92" s="5"/>
      <c r="D92"/>
      <c r="E92" s="7"/>
      <c r="F92"/>
      <c r="G92"/>
      <c r="H92" s="62"/>
      <c r="I92" s="35"/>
      <c r="J92" s="60"/>
      <c r="K92" s="84"/>
      <c r="L92" s="10"/>
      <c r="M92" s="51"/>
    </row>
    <row r="93" spans="1:13" x14ac:dyDescent="0.2">
      <c r="A93"/>
      <c r="B93"/>
      <c r="C93" s="5"/>
      <c r="D93"/>
      <c r="E93" s="7"/>
      <c r="F93"/>
      <c r="G93"/>
      <c r="H93" s="101"/>
      <c r="I93" s="10"/>
      <c r="J93" s="10"/>
      <c r="K93" s="10"/>
      <c r="L93" s="10"/>
      <c r="M93" s="51"/>
    </row>
    <row r="94" spans="1:13" x14ac:dyDescent="0.2">
      <c r="A94"/>
      <c r="B94"/>
      <c r="C94" s="5"/>
      <c r="D94"/>
      <c r="E94" s="7"/>
      <c r="F94"/>
      <c r="G94"/>
      <c r="H94" s="57"/>
      <c r="I94" s="10"/>
      <c r="J94" s="10"/>
      <c r="K94" s="10"/>
      <c r="L94" s="10"/>
      <c r="M94" s="103"/>
    </row>
    <row r="95" spans="1:13" x14ac:dyDescent="0.2">
      <c r="A95"/>
      <c r="B95"/>
      <c r="C95"/>
      <c r="D95"/>
      <c r="E95" s="7"/>
      <c r="F95"/>
      <c r="G95"/>
      <c r="H95" s="10"/>
      <c r="I95" s="10"/>
      <c r="J95" s="10"/>
      <c r="K95" s="10"/>
      <c r="L95" s="10"/>
      <c r="M95" s="51"/>
    </row>
    <row r="96" spans="1:13" x14ac:dyDescent="0.2">
      <c r="A96"/>
      <c r="B96"/>
      <c r="C96"/>
      <c r="D96"/>
      <c r="E96" s="7"/>
      <c r="F96"/>
      <c r="G96"/>
      <c r="H96" s="10"/>
      <c r="I96" s="10"/>
      <c r="J96" s="10"/>
      <c r="K96" s="10"/>
      <c r="L96" s="10"/>
      <c r="M96" s="51"/>
    </row>
    <row r="97" spans="1:13" x14ac:dyDescent="0.2">
      <c r="A97"/>
      <c r="B97"/>
      <c r="C97"/>
      <c r="D97"/>
      <c r="E97" s="7"/>
      <c r="F97"/>
      <c r="G97"/>
      <c r="H97" s="10"/>
      <c r="I97" s="10"/>
      <c r="J97" s="10"/>
      <c r="K97" s="10"/>
      <c r="L97" s="10"/>
      <c r="M97" s="51"/>
    </row>
    <row r="98" spans="1:13" x14ac:dyDescent="0.2">
      <c r="A98"/>
      <c r="B98"/>
      <c r="C98"/>
      <c r="D98"/>
      <c r="E98" s="7"/>
      <c r="F98"/>
      <c r="G98"/>
      <c r="H98" s="10"/>
      <c r="I98" s="10"/>
      <c r="J98" s="10"/>
      <c r="K98" s="10"/>
      <c r="L98" s="10"/>
      <c r="M98" s="51"/>
    </row>
    <row r="99" spans="1:13" x14ac:dyDescent="0.2">
      <c r="A99"/>
      <c r="B99"/>
      <c r="C99"/>
      <c r="D99"/>
      <c r="E99" s="7"/>
      <c r="F99"/>
      <c r="G99"/>
      <c r="H99" s="10"/>
      <c r="I99" s="10"/>
      <c r="J99" s="10"/>
      <c r="K99" s="10"/>
      <c r="L99" s="10"/>
      <c r="M99" s="51"/>
    </row>
    <row r="100" spans="1:13" x14ac:dyDescent="0.2">
      <c r="A100"/>
      <c r="B100"/>
      <c r="C100"/>
      <c r="D100"/>
      <c r="E100" s="7"/>
      <c r="F100"/>
      <c r="G100"/>
      <c r="H100" s="10"/>
      <c r="I100" s="10"/>
      <c r="J100" s="10"/>
      <c r="K100" s="10"/>
      <c r="L100" s="10"/>
      <c r="M100" s="51"/>
    </row>
    <row r="101" spans="1:13" x14ac:dyDescent="0.2">
      <c r="A101"/>
      <c r="B101"/>
      <c r="C101"/>
      <c r="D101"/>
      <c r="E101" s="7"/>
      <c r="F101"/>
      <c r="G101"/>
      <c r="H101" s="10"/>
      <c r="I101" s="10"/>
      <c r="J101" s="10"/>
      <c r="K101" s="10"/>
      <c r="L101" s="10"/>
      <c r="M101" s="51"/>
    </row>
    <row r="102" spans="1:13" x14ac:dyDescent="0.2">
      <c r="A102"/>
      <c r="B102"/>
      <c r="C102"/>
      <c r="D102"/>
      <c r="E102" s="7"/>
      <c r="F102"/>
      <c r="G102"/>
      <c r="H102" s="10"/>
      <c r="I102" s="10"/>
      <c r="J102" s="10"/>
      <c r="K102" s="10"/>
      <c r="L102" s="10"/>
      <c r="M102" s="51"/>
    </row>
    <row r="103" spans="1:13" x14ac:dyDescent="0.2">
      <c r="A103"/>
      <c r="B103"/>
      <c r="C103"/>
      <c r="D103"/>
      <c r="E103" s="7"/>
      <c r="F103"/>
      <c r="G103"/>
      <c r="H103" s="10"/>
      <c r="I103" s="10"/>
      <c r="J103" s="10"/>
      <c r="K103" s="10"/>
      <c r="L103" s="10"/>
      <c r="M103" s="51"/>
    </row>
    <row r="104" spans="1:13" x14ac:dyDescent="0.2">
      <c r="A104"/>
      <c r="B104"/>
      <c r="C104"/>
      <c r="D104"/>
      <c r="E104" s="7"/>
      <c r="F104"/>
      <c r="G104"/>
      <c r="H104" s="10"/>
      <c r="I104" s="10"/>
      <c r="J104" s="10"/>
      <c r="K104" s="10"/>
      <c r="L104" s="10"/>
      <c r="M104" s="51"/>
    </row>
    <row r="105" spans="1:13" x14ac:dyDescent="0.2">
      <c r="A105"/>
      <c r="B105"/>
      <c r="C105"/>
      <c r="D105"/>
      <c r="E105" s="7"/>
      <c r="F105"/>
      <c r="G105"/>
      <c r="H105" s="10"/>
      <c r="I105" s="10"/>
      <c r="J105" s="10"/>
      <c r="K105" s="10"/>
      <c r="L105" s="10"/>
      <c r="M105" s="51"/>
    </row>
    <row r="106" spans="1:13" x14ac:dyDescent="0.2">
      <c r="A106"/>
      <c r="B106"/>
      <c r="C106"/>
      <c r="D106"/>
      <c r="E106" s="7"/>
      <c r="F106"/>
      <c r="G106"/>
      <c r="H106" s="10"/>
      <c r="I106" s="10"/>
      <c r="J106" s="10"/>
      <c r="K106" s="10"/>
      <c r="L106" s="10"/>
      <c r="M106" s="51"/>
    </row>
    <row r="107" spans="1:13" x14ac:dyDescent="0.2">
      <c r="A107"/>
      <c r="B107"/>
      <c r="C107"/>
      <c r="D107"/>
      <c r="E107" s="7"/>
      <c r="F107"/>
      <c r="G107"/>
      <c r="H107" s="10"/>
      <c r="I107" s="10"/>
      <c r="J107" s="10"/>
      <c r="K107" s="10"/>
      <c r="L107" s="10"/>
      <c r="M107" s="51"/>
    </row>
    <row r="108" spans="1:13" x14ac:dyDescent="0.2">
      <c r="A108"/>
      <c r="B108"/>
      <c r="C108"/>
      <c r="D108"/>
      <c r="E108" s="7"/>
      <c r="F108"/>
      <c r="G108"/>
      <c r="H108" s="10"/>
      <c r="I108" s="10"/>
      <c r="J108" s="10"/>
      <c r="K108" s="10"/>
      <c r="L108" s="10"/>
      <c r="M108" s="51"/>
    </row>
    <row r="109" spans="1:13" x14ac:dyDescent="0.2">
      <c r="A109"/>
      <c r="B109"/>
      <c r="C109"/>
      <c r="D109"/>
      <c r="E109" s="7"/>
      <c r="F109"/>
      <c r="G109"/>
      <c r="H109" s="10"/>
      <c r="I109" s="10"/>
      <c r="J109" s="10"/>
      <c r="K109" s="10"/>
      <c r="L109" s="10"/>
      <c r="M109" s="51"/>
    </row>
    <row r="110" spans="1:13" x14ac:dyDescent="0.2">
      <c r="A110"/>
      <c r="B110"/>
      <c r="C110"/>
      <c r="D110"/>
      <c r="E110" s="7"/>
      <c r="F110"/>
      <c r="G110"/>
      <c r="H110" s="10"/>
      <c r="I110" s="10"/>
      <c r="J110" s="10"/>
      <c r="K110" s="10"/>
      <c r="L110" s="10"/>
      <c r="M110" s="51"/>
    </row>
    <row r="111" spans="1:13" x14ac:dyDescent="0.2">
      <c r="A111"/>
      <c r="B111"/>
      <c r="C111"/>
      <c r="D111"/>
      <c r="E111" s="7"/>
      <c r="F111"/>
      <c r="G111"/>
      <c r="H111" s="10"/>
      <c r="I111" s="10"/>
      <c r="J111" s="10"/>
      <c r="K111" s="10"/>
      <c r="L111" s="10"/>
      <c r="M111" s="51"/>
    </row>
    <row r="112" spans="1:13" x14ac:dyDescent="0.2">
      <c r="A112"/>
      <c r="B112"/>
      <c r="C112"/>
      <c r="D112"/>
      <c r="E112" s="7"/>
      <c r="F112"/>
      <c r="G112"/>
      <c r="H112" s="10"/>
      <c r="I112" s="10"/>
      <c r="J112" s="10"/>
      <c r="K112" s="10"/>
      <c r="L112" s="10"/>
      <c r="M112" s="51"/>
    </row>
    <row r="113" spans="1:13" x14ac:dyDescent="0.2">
      <c r="A113"/>
      <c r="B113"/>
      <c r="C113"/>
      <c r="D113"/>
      <c r="E113" s="7"/>
      <c r="F113"/>
      <c r="G113"/>
      <c r="H113" s="10"/>
      <c r="I113" s="10"/>
      <c r="J113" s="10"/>
      <c r="K113" s="10"/>
      <c r="L113" s="10"/>
      <c r="M113" s="51"/>
    </row>
    <row r="114" spans="1:13" x14ac:dyDescent="0.2">
      <c r="A114"/>
      <c r="B114"/>
      <c r="C114"/>
      <c r="D114"/>
      <c r="E114" s="7"/>
      <c r="F114"/>
      <c r="G114"/>
      <c r="H114" s="10"/>
      <c r="I114" s="10"/>
      <c r="J114" s="10"/>
      <c r="K114" s="10"/>
      <c r="L114" s="10"/>
      <c r="M114" s="51"/>
    </row>
    <row r="115" spans="1:13" x14ac:dyDescent="0.2">
      <c r="A115"/>
      <c r="B115"/>
      <c r="C115"/>
      <c r="D115"/>
      <c r="E115" s="7"/>
      <c r="F115"/>
      <c r="G115"/>
      <c r="H115" s="10"/>
      <c r="I115" s="10"/>
      <c r="J115" s="10"/>
      <c r="K115" s="10"/>
      <c r="L115" s="10"/>
      <c r="M115" s="51"/>
    </row>
    <row r="116" spans="1:13" x14ac:dyDescent="0.2">
      <c r="A116"/>
      <c r="B116"/>
      <c r="C116"/>
      <c r="D116"/>
      <c r="E116" s="7"/>
      <c r="F116"/>
      <c r="G116"/>
      <c r="H116" s="10"/>
      <c r="I116" s="10"/>
      <c r="J116" s="10"/>
      <c r="K116" s="10"/>
      <c r="L116" s="10"/>
      <c r="M116" s="51"/>
    </row>
    <row r="117" spans="1:13" x14ac:dyDescent="0.2">
      <c r="A117"/>
      <c r="B117"/>
      <c r="C117"/>
      <c r="D117"/>
      <c r="E117" s="7"/>
      <c r="F117"/>
      <c r="G117"/>
      <c r="H117" s="10"/>
      <c r="I117" s="10"/>
      <c r="J117" s="10"/>
      <c r="K117" s="10"/>
      <c r="L117" s="10"/>
      <c r="M117" s="51"/>
    </row>
    <row r="118" spans="1:13" x14ac:dyDescent="0.2">
      <c r="A118"/>
      <c r="B118"/>
      <c r="C118"/>
      <c r="D118"/>
      <c r="E118" s="7"/>
      <c r="F118"/>
      <c r="G118"/>
      <c r="H118" s="10"/>
      <c r="I118" s="10"/>
      <c r="J118" s="10"/>
      <c r="K118" s="10"/>
      <c r="L118" s="10"/>
      <c r="M118" s="51"/>
    </row>
    <row r="119" spans="1:13" x14ac:dyDescent="0.2">
      <c r="A119"/>
      <c r="B119"/>
      <c r="C119"/>
      <c r="D119"/>
      <c r="E119" s="7"/>
      <c r="F119"/>
      <c r="G119"/>
      <c r="H119" s="10"/>
      <c r="I119" s="10"/>
      <c r="J119" s="10"/>
      <c r="K119" s="10"/>
      <c r="L119" s="10"/>
      <c r="M119" s="51"/>
    </row>
    <row r="120" spans="1:13" x14ac:dyDescent="0.2">
      <c r="A120"/>
      <c r="B120"/>
      <c r="C120"/>
      <c r="D120"/>
      <c r="E120" s="7"/>
      <c r="F120"/>
      <c r="G120"/>
      <c r="H120" s="10"/>
      <c r="I120" s="10"/>
      <c r="J120" s="10"/>
      <c r="K120" s="10"/>
      <c r="L120" s="10"/>
      <c r="M120" s="51"/>
    </row>
    <row r="121" spans="1:13" x14ac:dyDescent="0.2">
      <c r="A121"/>
      <c r="B121"/>
      <c r="C121"/>
      <c r="D121"/>
      <c r="E121" s="7"/>
      <c r="F121"/>
      <c r="G121"/>
      <c r="H121" s="10"/>
      <c r="I121" s="10"/>
      <c r="J121" s="10"/>
      <c r="K121" s="10"/>
      <c r="L121" s="10"/>
      <c r="M121" s="51"/>
    </row>
    <row r="122" spans="1:13" x14ac:dyDescent="0.2">
      <c r="A122"/>
      <c r="B122"/>
      <c r="C122"/>
      <c r="D122"/>
      <c r="E122" s="7"/>
      <c r="F122"/>
      <c r="G122"/>
      <c r="H122" s="10"/>
      <c r="I122" s="10"/>
      <c r="J122" s="10"/>
      <c r="K122" s="10"/>
      <c r="L122" s="10"/>
      <c r="M122" s="51"/>
    </row>
    <row r="123" spans="1:13" x14ac:dyDescent="0.2">
      <c r="A123"/>
      <c r="B123"/>
      <c r="C123"/>
      <c r="D123"/>
      <c r="E123" s="7"/>
      <c r="F123"/>
      <c r="G123"/>
      <c r="H123" s="10"/>
      <c r="I123" s="10"/>
      <c r="J123" s="10"/>
      <c r="K123" s="10"/>
      <c r="L123" s="10"/>
      <c r="M123" s="51"/>
    </row>
    <row r="124" spans="1:13" x14ac:dyDescent="0.2">
      <c r="A124"/>
      <c r="B124"/>
      <c r="C124"/>
      <c r="D124"/>
      <c r="E124" s="7"/>
      <c r="F124"/>
      <c r="G124"/>
      <c r="H124" s="10"/>
      <c r="I124" s="10"/>
      <c r="J124" s="10"/>
      <c r="K124" s="10"/>
      <c r="L124" s="10"/>
      <c r="M124" s="51"/>
    </row>
    <row r="125" spans="1:13" x14ac:dyDescent="0.2">
      <c r="A125"/>
      <c r="B125"/>
      <c r="C125"/>
      <c r="D125"/>
      <c r="E125" s="7"/>
      <c r="F125"/>
      <c r="G125"/>
      <c r="H125" s="10"/>
      <c r="I125" s="10"/>
      <c r="J125" s="10"/>
      <c r="K125" s="10"/>
      <c r="L125" s="10"/>
      <c r="M125" s="51"/>
    </row>
    <row r="126" spans="1:13" x14ac:dyDescent="0.2">
      <c r="A126"/>
      <c r="B126"/>
      <c r="C126"/>
      <c r="D126"/>
      <c r="E126" s="7"/>
      <c r="F126"/>
      <c r="G126"/>
      <c r="H126" s="10"/>
      <c r="I126" s="10"/>
      <c r="J126" s="10"/>
      <c r="K126" s="10"/>
      <c r="L126" s="10"/>
      <c r="M126" s="51"/>
    </row>
    <row r="127" spans="1:13" x14ac:dyDescent="0.2">
      <c r="A127"/>
      <c r="B127"/>
      <c r="C127"/>
      <c r="D127"/>
      <c r="E127" s="7"/>
      <c r="F127"/>
      <c r="G127"/>
      <c r="H127" s="10"/>
      <c r="I127" s="10"/>
      <c r="J127" s="10"/>
      <c r="K127" s="10"/>
      <c r="L127" s="10"/>
      <c r="M127" s="51"/>
    </row>
    <row r="128" spans="1:13" x14ac:dyDescent="0.2">
      <c r="A128"/>
      <c r="B128"/>
      <c r="C128"/>
      <c r="D128"/>
      <c r="E128" s="7"/>
      <c r="F128"/>
      <c r="G128"/>
      <c r="H128" s="10"/>
      <c r="I128" s="10"/>
      <c r="J128" s="10"/>
      <c r="K128" s="10"/>
      <c r="L128" s="10"/>
      <c r="M128" s="51"/>
    </row>
    <row r="129" spans="1:13" x14ac:dyDescent="0.2">
      <c r="A129"/>
      <c r="B129"/>
      <c r="C129"/>
      <c r="D129"/>
      <c r="E129" s="7"/>
      <c r="F129"/>
      <c r="G129"/>
      <c r="H129" s="10"/>
      <c r="I129" s="10"/>
      <c r="J129" s="10"/>
      <c r="K129" s="10"/>
      <c r="L129" s="10"/>
      <c r="M129" s="51"/>
    </row>
    <row r="130" spans="1:13" x14ac:dyDescent="0.2">
      <c r="A130"/>
      <c r="B130"/>
      <c r="C130"/>
      <c r="D130"/>
      <c r="E130" s="7"/>
      <c r="F130"/>
      <c r="G130"/>
      <c r="H130" s="10"/>
      <c r="I130" s="10"/>
      <c r="J130" s="10"/>
      <c r="K130" s="10"/>
      <c r="L130" s="10"/>
      <c r="M130" s="51"/>
    </row>
    <row r="131" spans="1:13" x14ac:dyDescent="0.2">
      <c r="A131"/>
      <c r="B131"/>
      <c r="C131"/>
      <c r="D131"/>
      <c r="E131" s="7"/>
      <c r="F131"/>
      <c r="G131"/>
      <c r="H131" s="10"/>
      <c r="I131" s="10"/>
      <c r="J131" s="10"/>
      <c r="K131" s="10"/>
      <c r="L131" s="10"/>
      <c r="M131" s="51"/>
    </row>
    <row r="132" spans="1:13" x14ac:dyDescent="0.2">
      <c r="A132"/>
      <c r="B132"/>
      <c r="C132"/>
      <c r="D132"/>
      <c r="E132" s="7"/>
      <c r="F132"/>
      <c r="G132"/>
      <c r="H132" s="10"/>
      <c r="I132" s="10"/>
      <c r="J132" s="10"/>
      <c r="K132" s="10"/>
      <c r="L132" s="10"/>
      <c r="M132" s="51"/>
    </row>
    <row r="133" spans="1:13" x14ac:dyDescent="0.2">
      <c r="A133"/>
      <c r="B133"/>
      <c r="C133"/>
      <c r="D133"/>
      <c r="E133" s="7"/>
      <c r="F133"/>
      <c r="G133"/>
      <c r="H133" s="10"/>
      <c r="I133" s="10"/>
      <c r="J133" s="10"/>
      <c r="K133" s="10"/>
      <c r="L133" s="10"/>
      <c r="M133" s="51"/>
    </row>
    <row r="134" spans="1:13" x14ac:dyDescent="0.2">
      <c r="A134"/>
      <c r="B134"/>
      <c r="C134"/>
      <c r="D134"/>
      <c r="E134" s="7"/>
      <c r="F134"/>
      <c r="G134"/>
      <c r="H134" s="10"/>
      <c r="I134" s="10"/>
      <c r="J134" s="10"/>
      <c r="K134" s="10"/>
      <c r="L134" s="10"/>
      <c r="M134" s="51"/>
    </row>
    <row r="135" spans="1:13" x14ac:dyDescent="0.2">
      <c r="A135"/>
      <c r="B135"/>
      <c r="C135"/>
      <c r="D135"/>
      <c r="E135" s="7"/>
      <c r="F135"/>
      <c r="G135"/>
      <c r="H135" s="10"/>
      <c r="I135" s="10"/>
      <c r="J135" s="10"/>
      <c r="K135" s="10"/>
      <c r="L135" s="10"/>
      <c r="M135" s="51"/>
    </row>
    <row r="136" spans="1:13" x14ac:dyDescent="0.2">
      <c r="A136"/>
      <c r="B136"/>
      <c r="C136"/>
      <c r="D136"/>
      <c r="E136" s="7"/>
      <c r="F136"/>
      <c r="G136"/>
      <c r="H136" s="10"/>
      <c r="I136" s="10"/>
      <c r="J136" s="10"/>
      <c r="K136" s="10"/>
      <c r="L136" s="10"/>
      <c r="M136" s="51"/>
    </row>
    <row r="137" spans="1:13" x14ac:dyDescent="0.2">
      <c r="A137"/>
      <c r="B137"/>
      <c r="C137"/>
      <c r="D137"/>
      <c r="E137" s="7"/>
      <c r="F137"/>
      <c r="G137"/>
      <c r="H137" s="10"/>
      <c r="I137" s="10"/>
      <c r="J137" s="10"/>
      <c r="K137" s="10"/>
      <c r="L137" s="10"/>
      <c r="M137" s="51"/>
    </row>
    <row r="138" spans="1:13" x14ac:dyDescent="0.2">
      <c r="A138"/>
      <c r="B138"/>
      <c r="C138"/>
      <c r="D138"/>
      <c r="E138" s="7"/>
      <c r="F138"/>
      <c r="G138"/>
      <c r="H138" s="10"/>
      <c r="I138" s="10"/>
      <c r="J138" s="10"/>
      <c r="K138" s="10"/>
      <c r="L138" s="10"/>
      <c r="M138" s="51"/>
    </row>
    <row r="139" spans="1:13" x14ac:dyDescent="0.2">
      <c r="A139"/>
      <c r="B139"/>
      <c r="C139"/>
      <c r="D139"/>
      <c r="E139" s="7"/>
      <c r="F139"/>
      <c r="G139"/>
      <c r="H139" s="10"/>
      <c r="I139" s="10"/>
      <c r="J139" s="10"/>
      <c r="K139" s="10"/>
      <c r="L139" s="10"/>
      <c r="M139" s="51"/>
    </row>
    <row r="140" spans="1:13" x14ac:dyDescent="0.2">
      <c r="A140"/>
      <c r="B140"/>
      <c r="C140"/>
      <c r="D140"/>
      <c r="E140" s="7"/>
      <c r="F140"/>
      <c r="G140"/>
      <c r="H140" s="10"/>
      <c r="I140" s="10"/>
      <c r="J140" s="10"/>
      <c r="K140" s="10"/>
      <c r="L140" s="10"/>
      <c r="M140" s="51"/>
    </row>
    <row r="141" spans="1:13" x14ac:dyDescent="0.2">
      <c r="A141"/>
      <c r="B141"/>
      <c r="C141"/>
      <c r="D141"/>
      <c r="E141" s="7"/>
      <c r="F141"/>
      <c r="G141"/>
      <c r="H141" s="10"/>
      <c r="I141" s="10"/>
      <c r="J141" s="10"/>
      <c r="K141" s="10"/>
      <c r="L141" s="10"/>
      <c r="M141" s="51"/>
    </row>
    <row r="142" spans="1:13" x14ac:dyDescent="0.2">
      <c r="A142"/>
      <c r="B142"/>
      <c r="C142"/>
      <c r="D142"/>
      <c r="E142" s="7"/>
      <c r="F142"/>
      <c r="G142"/>
      <c r="H142" s="10"/>
      <c r="I142" s="10"/>
      <c r="J142" s="10"/>
      <c r="K142" s="10"/>
      <c r="L142" s="10"/>
      <c r="M142" s="51"/>
    </row>
    <row r="143" spans="1:13" x14ac:dyDescent="0.2">
      <c r="A143"/>
      <c r="B143"/>
      <c r="C143"/>
      <c r="D143"/>
      <c r="E143" s="7"/>
      <c r="F143"/>
      <c r="G143"/>
      <c r="H143" s="10"/>
      <c r="I143" s="10"/>
      <c r="J143" s="10"/>
      <c r="K143" s="10"/>
      <c r="L143" s="10"/>
      <c r="M143" s="51"/>
    </row>
    <row r="144" spans="1:13" x14ac:dyDescent="0.2">
      <c r="A144"/>
      <c r="B144"/>
      <c r="C144"/>
      <c r="D144"/>
      <c r="E144" s="7"/>
      <c r="F144"/>
      <c r="G144"/>
      <c r="H144" s="10"/>
      <c r="I144" s="10"/>
      <c r="J144" s="10"/>
      <c r="K144" s="10"/>
      <c r="L144" s="10"/>
      <c r="M144" s="51"/>
    </row>
    <row r="145" spans="1:13" x14ac:dyDescent="0.2">
      <c r="A145"/>
      <c r="B145"/>
      <c r="C145"/>
      <c r="D145"/>
      <c r="E145" s="7"/>
      <c r="F145"/>
      <c r="G145"/>
      <c r="H145" s="10"/>
      <c r="I145" s="10"/>
      <c r="J145" s="10"/>
      <c r="K145" s="10"/>
      <c r="L145" s="10"/>
      <c r="M145" s="51"/>
    </row>
    <row r="146" spans="1:13" x14ac:dyDescent="0.2">
      <c r="A146"/>
      <c r="B146"/>
      <c r="C146"/>
      <c r="D146"/>
      <c r="E146" s="7"/>
      <c r="F146"/>
      <c r="G146"/>
      <c r="H146" s="10"/>
      <c r="I146" s="10"/>
      <c r="J146" s="10"/>
      <c r="K146" s="10"/>
      <c r="L146" s="10"/>
      <c r="M146" s="51"/>
    </row>
    <row r="147" spans="1:13" x14ac:dyDescent="0.2">
      <c r="A147"/>
      <c r="B147"/>
      <c r="C147"/>
      <c r="D147"/>
      <c r="E147" s="7"/>
      <c r="F147"/>
      <c r="G147"/>
      <c r="H147" s="10"/>
      <c r="I147" s="10"/>
      <c r="J147" s="10"/>
      <c r="K147" s="10"/>
      <c r="L147" s="10"/>
      <c r="M147" s="51"/>
    </row>
    <row r="148" spans="1:13" x14ac:dyDescent="0.2">
      <c r="A148"/>
      <c r="B148"/>
      <c r="C148"/>
      <c r="D148"/>
      <c r="E148" s="7"/>
      <c r="F148"/>
      <c r="G148"/>
      <c r="H148" s="10"/>
      <c r="I148" s="10"/>
      <c r="J148" s="10"/>
      <c r="K148" s="10"/>
      <c r="L148" s="10"/>
      <c r="M148" s="51"/>
    </row>
    <row r="149" spans="1:13" x14ac:dyDescent="0.2">
      <c r="A149"/>
      <c r="B149"/>
      <c r="C149"/>
      <c r="D149"/>
      <c r="E149" s="7"/>
      <c r="F149"/>
      <c r="G149"/>
      <c r="H149" s="10"/>
      <c r="I149" s="10"/>
      <c r="J149" s="10"/>
      <c r="K149" s="10"/>
      <c r="L149" s="10"/>
      <c r="M149" s="51"/>
    </row>
    <row r="150" spans="1:13" x14ac:dyDescent="0.2">
      <c r="A150"/>
      <c r="B150"/>
      <c r="C150"/>
      <c r="D150"/>
      <c r="E150" s="7"/>
      <c r="F150"/>
      <c r="G150"/>
      <c r="H150" s="10"/>
      <c r="I150" s="10"/>
      <c r="J150" s="10"/>
      <c r="K150" s="10"/>
      <c r="L150" s="10"/>
      <c r="M150" s="51"/>
    </row>
    <row r="151" spans="1:13" x14ac:dyDescent="0.2">
      <c r="A151"/>
      <c r="B151"/>
      <c r="C151"/>
      <c r="D151"/>
      <c r="E151" s="7"/>
      <c r="F151"/>
      <c r="G151"/>
      <c r="H151" s="10"/>
      <c r="I151" s="10"/>
      <c r="J151" s="10"/>
      <c r="K151" s="10"/>
      <c r="L151" s="10"/>
      <c r="M151" s="51"/>
    </row>
    <row r="152" spans="1:13" x14ac:dyDescent="0.2">
      <c r="A152"/>
      <c r="B152"/>
      <c r="C152"/>
      <c r="D152"/>
      <c r="E152" s="7"/>
      <c r="F152"/>
      <c r="G152"/>
      <c r="H152" s="10"/>
      <c r="I152" s="10"/>
      <c r="J152" s="10"/>
      <c r="K152" s="10"/>
      <c r="L152" s="10"/>
      <c r="M152" s="51"/>
    </row>
    <row r="153" spans="1:13" x14ac:dyDescent="0.2">
      <c r="A153"/>
      <c r="B153"/>
      <c r="C153"/>
      <c r="D153"/>
      <c r="E153" s="7"/>
      <c r="F153"/>
      <c r="G153"/>
      <c r="H153" s="10"/>
      <c r="I153" s="10"/>
      <c r="J153" s="10"/>
      <c r="K153" s="10"/>
      <c r="L153" s="10"/>
      <c r="M153" s="51"/>
    </row>
    <row r="154" spans="1:13" x14ac:dyDescent="0.2">
      <c r="A154"/>
      <c r="B154"/>
      <c r="C154"/>
      <c r="D154"/>
      <c r="E154" s="7"/>
      <c r="F154"/>
      <c r="G154"/>
      <c r="H154" s="10"/>
      <c r="I154" s="10"/>
      <c r="J154" s="10"/>
      <c r="K154" s="10"/>
      <c r="L154" s="10"/>
      <c r="M154" s="51"/>
    </row>
    <row r="155" spans="1:13" x14ac:dyDescent="0.2">
      <c r="A155"/>
      <c r="B155"/>
      <c r="C155"/>
      <c r="D155"/>
      <c r="E155" s="7"/>
      <c r="F155"/>
      <c r="G155"/>
      <c r="H155" s="10"/>
      <c r="I155" s="10"/>
      <c r="J155" s="10"/>
      <c r="K155" s="10"/>
      <c r="L155" s="10"/>
      <c r="M155" s="51"/>
    </row>
    <row r="156" spans="1:13" x14ac:dyDescent="0.2">
      <c r="A156"/>
      <c r="B156"/>
      <c r="C156"/>
      <c r="D156"/>
      <c r="E156" s="7"/>
      <c r="F156"/>
      <c r="G156"/>
      <c r="H156" s="10"/>
      <c r="I156" s="10"/>
      <c r="J156" s="10"/>
      <c r="K156" s="10"/>
      <c r="L156" s="10"/>
      <c r="M156" s="51"/>
    </row>
    <row r="157" spans="1:13" x14ac:dyDescent="0.2">
      <c r="A157"/>
      <c r="B157"/>
      <c r="C157"/>
      <c r="D157"/>
      <c r="E157" s="7"/>
      <c r="F157"/>
      <c r="G157"/>
      <c r="H157" s="10"/>
      <c r="I157" s="10"/>
      <c r="J157" s="10"/>
      <c r="K157" s="10"/>
      <c r="L157" s="10"/>
      <c r="M157" s="51"/>
    </row>
    <row r="158" spans="1:13" x14ac:dyDescent="0.2">
      <c r="A158"/>
      <c r="B158"/>
      <c r="C158"/>
      <c r="D158"/>
      <c r="E158" s="7"/>
      <c r="F158"/>
      <c r="G158"/>
      <c r="H158" s="10"/>
      <c r="I158" s="10"/>
      <c r="J158" s="10"/>
      <c r="K158" s="10"/>
      <c r="L158" s="10"/>
      <c r="M158" s="51"/>
    </row>
    <row r="159" spans="1:13" x14ac:dyDescent="0.2">
      <c r="A159"/>
      <c r="B159"/>
      <c r="C159"/>
      <c r="D159"/>
      <c r="E159" s="7"/>
      <c r="F159"/>
      <c r="G159"/>
      <c r="H159" s="10"/>
      <c r="I159" s="10"/>
      <c r="J159" s="10"/>
      <c r="K159" s="10"/>
      <c r="L159" s="10"/>
      <c r="M159" s="51"/>
    </row>
    <row r="160" spans="1:13" x14ac:dyDescent="0.2">
      <c r="A160"/>
      <c r="B160"/>
      <c r="C160"/>
      <c r="D160"/>
      <c r="E160" s="7"/>
      <c r="F160"/>
      <c r="G160"/>
      <c r="H160" s="10"/>
      <c r="I160" s="10"/>
      <c r="J160" s="10"/>
      <c r="K160" s="10"/>
      <c r="L160" s="10"/>
      <c r="M160" s="51"/>
    </row>
    <row r="161" spans="1:13" x14ac:dyDescent="0.2">
      <c r="A161"/>
      <c r="B161"/>
      <c r="C161"/>
      <c r="D161"/>
      <c r="E161" s="7"/>
      <c r="F161"/>
      <c r="G161"/>
      <c r="H161" s="10"/>
      <c r="I161" s="10"/>
      <c r="J161" s="10"/>
      <c r="K161" s="10"/>
      <c r="L161" s="10"/>
      <c r="M161" s="51"/>
    </row>
    <row r="162" spans="1:13" x14ac:dyDescent="0.2">
      <c r="A162"/>
      <c r="B162"/>
      <c r="C162"/>
      <c r="D162"/>
      <c r="E162" s="7"/>
      <c r="F162"/>
      <c r="G162"/>
      <c r="H162" s="10"/>
      <c r="I162" s="10"/>
      <c r="J162" s="10"/>
      <c r="K162" s="10"/>
      <c r="L162" s="10"/>
      <c r="M162" s="51"/>
    </row>
    <row r="163" spans="1:13" x14ac:dyDescent="0.2">
      <c r="A163"/>
      <c r="B163"/>
      <c r="C163"/>
      <c r="D163"/>
      <c r="E163" s="7"/>
      <c r="F163"/>
      <c r="G163"/>
      <c r="H163" s="10"/>
      <c r="I163" s="10"/>
      <c r="J163" s="10"/>
      <c r="K163" s="10"/>
      <c r="L163" s="10"/>
      <c r="M163" s="51"/>
    </row>
    <row r="164" spans="1:13" x14ac:dyDescent="0.2">
      <c r="A164"/>
      <c r="B164"/>
      <c r="C164"/>
      <c r="D164"/>
      <c r="E164" s="7"/>
      <c r="F164"/>
      <c r="G164"/>
      <c r="H164" s="10"/>
      <c r="I164" s="10"/>
      <c r="J164" s="10"/>
      <c r="K164" s="10"/>
      <c r="L164" s="10"/>
      <c r="M164" s="51"/>
    </row>
    <row r="165" spans="1:13" x14ac:dyDescent="0.2">
      <c r="A165"/>
      <c r="B165"/>
      <c r="C165"/>
      <c r="D165"/>
      <c r="E165" s="7"/>
      <c r="F165"/>
      <c r="G165"/>
      <c r="H165" s="10"/>
      <c r="I165" s="10"/>
      <c r="J165" s="10"/>
      <c r="K165" s="10"/>
      <c r="L165" s="10"/>
      <c r="M165" s="51"/>
    </row>
    <row r="166" spans="1:13" x14ac:dyDescent="0.2">
      <c r="A166"/>
      <c r="B166"/>
      <c r="C166"/>
      <c r="D166"/>
      <c r="E166" s="7"/>
      <c r="F166"/>
      <c r="G166"/>
      <c r="H166" s="10"/>
      <c r="I166" s="10"/>
      <c r="J166" s="10"/>
      <c r="K166" s="10"/>
      <c r="L166" s="10"/>
      <c r="M166" s="51"/>
    </row>
    <row r="167" spans="1:13" x14ac:dyDescent="0.2">
      <c r="A167"/>
      <c r="B167"/>
      <c r="C167"/>
      <c r="D167"/>
      <c r="E167" s="7"/>
      <c r="F167"/>
      <c r="G167"/>
      <c r="H167" s="10"/>
      <c r="I167" s="10"/>
      <c r="J167" s="10"/>
      <c r="K167" s="10"/>
      <c r="L167" s="10"/>
      <c r="M167" s="51"/>
    </row>
    <row r="168" spans="1:13" x14ac:dyDescent="0.2">
      <c r="A168"/>
      <c r="B168"/>
      <c r="C168"/>
      <c r="D168"/>
      <c r="E168" s="7"/>
      <c r="F168"/>
      <c r="G168"/>
      <c r="H168" s="10"/>
      <c r="I168" s="10"/>
      <c r="J168" s="10"/>
      <c r="K168" s="10"/>
      <c r="L168" s="10"/>
      <c r="M168" s="51"/>
    </row>
    <row r="169" spans="1:13" x14ac:dyDescent="0.2">
      <c r="A169"/>
      <c r="B169"/>
      <c r="C169"/>
      <c r="D169"/>
      <c r="E169" s="7"/>
      <c r="F169"/>
      <c r="G169"/>
      <c r="H169" s="10"/>
      <c r="I169" s="10"/>
      <c r="J169" s="10"/>
      <c r="K169" s="10"/>
      <c r="L169" s="10"/>
      <c r="M169" s="51"/>
    </row>
    <row r="170" spans="1:13" x14ac:dyDescent="0.2">
      <c r="A170"/>
      <c r="B170"/>
      <c r="C170"/>
      <c r="D170"/>
      <c r="E170" s="7"/>
      <c r="F170"/>
      <c r="G170"/>
      <c r="H170" s="10"/>
      <c r="I170" s="10"/>
      <c r="J170" s="10"/>
      <c r="K170" s="10"/>
      <c r="L170" s="10"/>
      <c r="M170" s="51"/>
    </row>
    <row r="171" spans="1:13" x14ac:dyDescent="0.2">
      <c r="A171"/>
      <c r="B171"/>
      <c r="C171"/>
      <c r="D171"/>
      <c r="E171" s="7"/>
      <c r="F171"/>
      <c r="G171"/>
      <c r="H171" s="10"/>
      <c r="I171" s="10"/>
      <c r="J171" s="10"/>
      <c r="K171" s="10"/>
      <c r="L171" s="10"/>
      <c r="M171" s="51"/>
    </row>
    <row r="172" spans="1:13" x14ac:dyDescent="0.2">
      <c r="A172"/>
      <c r="B172"/>
      <c r="C172"/>
      <c r="D172"/>
      <c r="E172" s="7"/>
      <c r="F172"/>
      <c r="G172"/>
      <c r="H172" s="10"/>
      <c r="I172" s="10"/>
      <c r="J172" s="10"/>
      <c r="K172" s="10"/>
      <c r="L172" s="10"/>
      <c r="M172" s="51"/>
    </row>
    <row r="173" spans="1:13" x14ac:dyDescent="0.2">
      <c r="A173"/>
      <c r="B173"/>
      <c r="C173"/>
      <c r="D173"/>
      <c r="E173" s="7"/>
      <c r="F173"/>
      <c r="G173"/>
      <c r="H173" s="10"/>
      <c r="I173" s="10"/>
      <c r="J173" s="10"/>
      <c r="K173" s="10"/>
      <c r="L173" s="10"/>
      <c r="M173" s="51"/>
    </row>
    <row r="174" spans="1:13" x14ac:dyDescent="0.2">
      <c r="A174"/>
      <c r="B174"/>
      <c r="C174"/>
      <c r="D174"/>
      <c r="E174" s="7"/>
      <c r="F174"/>
      <c r="G174"/>
      <c r="H174" s="10"/>
      <c r="I174" s="10"/>
      <c r="J174" s="10"/>
      <c r="K174" s="10"/>
      <c r="L174" s="10"/>
      <c r="M174" s="51"/>
    </row>
    <row r="175" spans="1:13" x14ac:dyDescent="0.2">
      <c r="A175"/>
      <c r="B175"/>
      <c r="C175"/>
      <c r="D175"/>
      <c r="E175" s="7"/>
      <c r="F175"/>
      <c r="G175"/>
      <c r="H175" s="10"/>
      <c r="I175" s="10"/>
      <c r="J175" s="10"/>
      <c r="K175" s="10"/>
      <c r="L175" s="10"/>
      <c r="M175" s="51"/>
    </row>
    <row r="176" spans="1:13" x14ac:dyDescent="0.2">
      <c r="A176"/>
      <c r="B176"/>
      <c r="C176"/>
      <c r="D176"/>
      <c r="E176" s="7"/>
      <c r="F176"/>
      <c r="G176"/>
      <c r="H176" s="10"/>
      <c r="I176" s="10"/>
      <c r="J176" s="10"/>
      <c r="K176" s="10"/>
      <c r="L176" s="10"/>
      <c r="M176" s="51"/>
    </row>
    <row r="177" spans="1:13" x14ac:dyDescent="0.2">
      <c r="A177"/>
      <c r="B177"/>
      <c r="C177"/>
      <c r="D177"/>
      <c r="E177" s="7"/>
      <c r="F177"/>
      <c r="G177"/>
      <c r="H177" s="10"/>
      <c r="I177" s="10"/>
      <c r="J177" s="10"/>
      <c r="K177" s="10"/>
      <c r="L177" s="10"/>
      <c r="M177" s="51"/>
    </row>
    <row r="178" spans="1:13" x14ac:dyDescent="0.2">
      <c r="A178"/>
      <c r="B178"/>
      <c r="C178"/>
      <c r="D178"/>
      <c r="E178" s="7"/>
      <c r="F178"/>
      <c r="G178"/>
      <c r="H178" s="10"/>
      <c r="I178" s="10"/>
      <c r="J178" s="10"/>
      <c r="K178" s="10"/>
      <c r="L178" s="10"/>
      <c r="M178" s="51"/>
    </row>
    <row r="179" spans="1:13" x14ac:dyDescent="0.2">
      <c r="A179"/>
      <c r="B179"/>
      <c r="C179"/>
      <c r="D179"/>
      <c r="E179" s="7"/>
      <c r="F179"/>
      <c r="G179"/>
      <c r="H179" s="10"/>
      <c r="I179" s="10"/>
      <c r="J179" s="10"/>
      <c r="K179" s="10"/>
      <c r="L179" s="10"/>
      <c r="M179" s="51"/>
    </row>
    <row r="180" spans="1:13" x14ac:dyDescent="0.2">
      <c r="A180"/>
      <c r="B180"/>
      <c r="C180"/>
      <c r="D180"/>
      <c r="E180" s="7"/>
      <c r="F180"/>
      <c r="G180"/>
      <c r="H180" s="10"/>
      <c r="I180" s="10"/>
      <c r="J180" s="10"/>
      <c r="K180" s="10"/>
      <c r="L180" s="10"/>
      <c r="M180" s="51"/>
    </row>
    <row r="181" spans="1:13" x14ac:dyDescent="0.2">
      <c r="A181"/>
      <c r="B181"/>
      <c r="C181"/>
      <c r="D181"/>
      <c r="E181" s="7"/>
      <c r="F181"/>
      <c r="G181"/>
      <c r="H181" s="10"/>
      <c r="I181" s="10"/>
      <c r="J181" s="10"/>
      <c r="K181" s="10"/>
      <c r="L181" s="10"/>
      <c r="M181" s="51"/>
    </row>
    <row r="182" spans="1:13" x14ac:dyDescent="0.2">
      <c r="A182"/>
      <c r="B182"/>
      <c r="C182"/>
      <c r="D182"/>
      <c r="E182" s="7"/>
      <c r="F182"/>
      <c r="G182"/>
      <c r="H182" s="10"/>
      <c r="I182" s="10"/>
      <c r="J182" s="10"/>
      <c r="K182" s="10"/>
      <c r="L182" s="10"/>
      <c r="M182" s="51"/>
    </row>
    <row r="183" spans="1:13" x14ac:dyDescent="0.2">
      <c r="A183"/>
      <c r="B183"/>
      <c r="C183"/>
      <c r="D183"/>
      <c r="E183" s="7"/>
      <c r="F183"/>
      <c r="G183"/>
      <c r="H183" s="10"/>
      <c r="I183" s="10"/>
      <c r="J183" s="10"/>
      <c r="K183" s="10"/>
      <c r="L183" s="10"/>
      <c r="M183" s="51"/>
    </row>
    <row r="184" spans="1:13" x14ac:dyDescent="0.2">
      <c r="A184"/>
      <c r="B184"/>
      <c r="C184"/>
      <c r="D184"/>
      <c r="E184" s="7"/>
      <c r="F184"/>
      <c r="G184"/>
      <c r="H184" s="10"/>
      <c r="I184" s="10"/>
      <c r="J184" s="10"/>
      <c r="K184" s="10"/>
      <c r="L184" s="10"/>
      <c r="M184" s="51"/>
    </row>
    <row r="185" spans="1:13" x14ac:dyDescent="0.2">
      <c r="A185"/>
      <c r="B185"/>
      <c r="C185"/>
      <c r="D185"/>
      <c r="E185" s="7"/>
      <c r="F185"/>
      <c r="G185"/>
      <c r="H185" s="10"/>
      <c r="I185" s="10"/>
      <c r="J185" s="10"/>
      <c r="K185" s="10"/>
      <c r="L185" s="10"/>
      <c r="M185" s="51"/>
    </row>
    <row r="186" spans="1:13" x14ac:dyDescent="0.2">
      <c r="A186"/>
      <c r="B186"/>
      <c r="C186"/>
      <c r="D186"/>
      <c r="E186" s="7"/>
      <c r="F186"/>
      <c r="G186"/>
      <c r="H186" s="10"/>
      <c r="I186" s="10"/>
      <c r="J186" s="10"/>
      <c r="K186" s="10"/>
      <c r="L186" s="10"/>
      <c r="M186" s="51"/>
    </row>
    <row r="187" spans="1:13" x14ac:dyDescent="0.2">
      <c r="A187"/>
      <c r="B187"/>
      <c r="C187"/>
      <c r="D187"/>
      <c r="E187" s="7"/>
      <c r="F187"/>
      <c r="G187"/>
      <c r="H187" s="10"/>
      <c r="I187" s="10"/>
      <c r="J187" s="10"/>
      <c r="K187" s="10"/>
      <c r="L187" s="10"/>
      <c r="M187" s="51"/>
    </row>
    <row r="188" spans="1:13" x14ac:dyDescent="0.2">
      <c r="A188"/>
      <c r="B188"/>
      <c r="C188"/>
      <c r="D188"/>
      <c r="E188" s="7"/>
      <c r="F188"/>
      <c r="G188"/>
      <c r="H188" s="10"/>
      <c r="I188" s="10"/>
      <c r="J188" s="10"/>
      <c r="K188" s="10"/>
      <c r="L188" s="10"/>
      <c r="M188" s="51"/>
    </row>
    <row r="189" spans="1:13" x14ac:dyDescent="0.2">
      <c r="A189"/>
      <c r="B189"/>
      <c r="C189"/>
      <c r="D189"/>
      <c r="E189" s="7"/>
      <c r="F189"/>
      <c r="G189"/>
      <c r="H189" s="10"/>
      <c r="I189" s="10"/>
      <c r="J189" s="10"/>
      <c r="K189" s="10"/>
      <c r="L189" s="10"/>
      <c r="M189" s="51"/>
    </row>
    <row r="190" spans="1:13" x14ac:dyDescent="0.2">
      <c r="A190"/>
      <c r="B190"/>
      <c r="C190"/>
      <c r="D190"/>
      <c r="E190" s="7"/>
      <c r="F190"/>
      <c r="G190"/>
      <c r="H190" s="10"/>
      <c r="I190" s="10"/>
      <c r="J190" s="10"/>
      <c r="K190" s="10"/>
      <c r="L190" s="10"/>
      <c r="M190" s="51"/>
    </row>
    <row r="191" spans="1:13" x14ac:dyDescent="0.2">
      <c r="A191"/>
      <c r="B191"/>
      <c r="C191"/>
      <c r="D191"/>
      <c r="E191" s="7"/>
      <c r="F191"/>
      <c r="G191"/>
      <c r="H191" s="10"/>
      <c r="I191" s="10"/>
      <c r="J191" s="10"/>
      <c r="K191" s="10"/>
      <c r="L191" s="10"/>
      <c r="M191" s="51"/>
    </row>
    <row r="192" spans="1:13" x14ac:dyDescent="0.2">
      <c r="A192"/>
      <c r="B192"/>
      <c r="C192"/>
      <c r="D192"/>
      <c r="E192" s="7"/>
      <c r="F192"/>
      <c r="G192"/>
      <c r="H192" s="10"/>
      <c r="I192" s="10"/>
      <c r="J192" s="10"/>
      <c r="K192" s="10"/>
      <c r="L192" s="10"/>
      <c r="M192" s="51"/>
    </row>
    <row r="193" spans="1:13" x14ac:dyDescent="0.2">
      <c r="A193"/>
      <c r="B193"/>
      <c r="C193"/>
      <c r="D193"/>
      <c r="E193" s="7"/>
      <c r="F193"/>
      <c r="G193"/>
      <c r="H193" s="10"/>
      <c r="I193" s="10"/>
      <c r="J193" s="10"/>
      <c r="K193" s="10"/>
      <c r="L193" s="10"/>
      <c r="M193" s="51"/>
    </row>
    <row r="194" spans="1:13" x14ac:dyDescent="0.2">
      <c r="A194"/>
      <c r="B194"/>
      <c r="C194"/>
      <c r="D194"/>
      <c r="E194" s="7"/>
      <c r="F194"/>
      <c r="G194"/>
      <c r="H194" s="10"/>
      <c r="I194" s="10"/>
      <c r="J194" s="10"/>
      <c r="K194" s="10"/>
      <c r="L194" s="10"/>
      <c r="M194" s="51"/>
    </row>
    <row r="195" spans="1:13" x14ac:dyDescent="0.2">
      <c r="A195"/>
      <c r="B195"/>
      <c r="C195"/>
      <c r="D195"/>
      <c r="E195" s="7"/>
      <c r="F195"/>
      <c r="G195"/>
      <c r="H195" s="10"/>
      <c r="I195" s="10"/>
      <c r="J195" s="10"/>
      <c r="K195" s="10"/>
      <c r="L195" s="10"/>
      <c r="M195" s="51"/>
    </row>
    <row r="196" spans="1:13" x14ac:dyDescent="0.2">
      <c r="A196"/>
      <c r="B196"/>
      <c r="C196"/>
      <c r="D196"/>
      <c r="E196" s="7"/>
      <c r="F196"/>
      <c r="G196"/>
      <c r="H196" s="10"/>
      <c r="I196" s="10"/>
      <c r="J196" s="10"/>
      <c r="K196" s="10"/>
      <c r="L196" s="10"/>
      <c r="M196" s="51"/>
    </row>
    <row r="197" spans="1:13" x14ac:dyDescent="0.2">
      <c r="A197"/>
      <c r="B197"/>
      <c r="C197"/>
      <c r="D197"/>
      <c r="E197" s="7"/>
      <c r="F197"/>
      <c r="G197"/>
      <c r="H197" s="10"/>
      <c r="I197" s="10"/>
      <c r="J197" s="10"/>
      <c r="K197" s="10"/>
      <c r="L197" s="10"/>
      <c r="M197" s="51"/>
    </row>
    <row r="198" spans="1:13" x14ac:dyDescent="0.2">
      <c r="A198"/>
      <c r="B198"/>
      <c r="C198"/>
      <c r="D198"/>
      <c r="E198" s="7"/>
      <c r="F198"/>
      <c r="G198"/>
      <c r="H198" s="10"/>
      <c r="I198" s="10"/>
      <c r="J198" s="10"/>
      <c r="K198" s="10"/>
      <c r="L198" s="10"/>
      <c r="M198" s="51"/>
    </row>
    <row r="199" spans="1:13" x14ac:dyDescent="0.2">
      <c r="A199"/>
      <c r="B199"/>
      <c r="C199"/>
      <c r="D199"/>
      <c r="E199" s="7"/>
      <c r="F199"/>
      <c r="G199"/>
      <c r="H199" s="10"/>
      <c r="I199" s="10"/>
      <c r="J199" s="10"/>
      <c r="K199" s="10"/>
      <c r="L199" s="10"/>
      <c r="M199" s="51"/>
    </row>
    <row r="200" spans="1:13" x14ac:dyDescent="0.2">
      <c r="A200"/>
      <c r="B200"/>
      <c r="C200"/>
      <c r="D200"/>
      <c r="E200" s="7"/>
      <c r="F200"/>
      <c r="G200"/>
      <c r="H200" s="10"/>
      <c r="I200" s="10"/>
      <c r="J200" s="10"/>
      <c r="K200" s="10"/>
      <c r="L200" s="10"/>
      <c r="M200" s="51"/>
    </row>
    <row r="201" spans="1:13" x14ac:dyDescent="0.2">
      <c r="A201"/>
      <c r="B201"/>
      <c r="C201"/>
      <c r="D201"/>
      <c r="E201" s="7"/>
      <c r="F201"/>
      <c r="G201"/>
      <c r="H201" s="10"/>
      <c r="I201" s="10"/>
      <c r="J201" s="10"/>
      <c r="K201" s="10"/>
      <c r="L201" s="10"/>
      <c r="M201" s="51"/>
    </row>
    <row r="202" spans="1:13" x14ac:dyDescent="0.2">
      <c r="A202"/>
      <c r="B202"/>
      <c r="C202"/>
      <c r="D202"/>
      <c r="E202" s="7"/>
      <c r="F202"/>
      <c r="G202"/>
      <c r="H202" s="10"/>
      <c r="I202" s="10"/>
      <c r="J202" s="10"/>
      <c r="K202" s="10"/>
      <c r="L202" s="10"/>
      <c r="M202" s="51"/>
    </row>
    <row r="203" spans="1:13" x14ac:dyDescent="0.2">
      <c r="A203"/>
      <c r="B203"/>
      <c r="C203"/>
      <c r="D203"/>
      <c r="E203" s="7"/>
      <c r="F203"/>
      <c r="G203"/>
      <c r="H203" s="10"/>
      <c r="I203" s="10"/>
      <c r="J203" s="10"/>
      <c r="K203" s="10"/>
      <c r="L203" s="10"/>
      <c r="M203" s="51"/>
    </row>
    <row r="204" spans="1:13" x14ac:dyDescent="0.2">
      <c r="A204"/>
      <c r="B204"/>
      <c r="C204"/>
      <c r="D204"/>
      <c r="E204" s="7"/>
      <c r="F204"/>
      <c r="G204"/>
      <c r="H204" s="10"/>
      <c r="I204" s="10"/>
      <c r="J204" s="10"/>
      <c r="K204" s="10"/>
      <c r="L204" s="10"/>
      <c r="M204" s="51"/>
    </row>
    <row r="205" spans="1:13" x14ac:dyDescent="0.2">
      <c r="A205"/>
      <c r="B205"/>
      <c r="C205"/>
      <c r="D205"/>
      <c r="E205" s="7"/>
      <c r="F205"/>
      <c r="G205"/>
      <c r="H205" s="10"/>
      <c r="I205" s="10"/>
      <c r="J205" s="10"/>
      <c r="K205" s="10"/>
      <c r="L205" s="10"/>
      <c r="M205" s="51"/>
    </row>
    <row r="206" spans="1:13" x14ac:dyDescent="0.2">
      <c r="A206"/>
      <c r="B206"/>
      <c r="C206"/>
      <c r="D206"/>
      <c r="E206" s="7"/>
      <c r="F206"/>
      <c r="G206"/>
      <c r="H206" s="10"/>
      <c r="I206" s="10"/>
      <c r="J206" s="10"/>
      <c r="K206" s="10"/>
      <c r="L206" s="10"/>
      <c r="M206" s="51"/>
    </row>
    <row r="207" spans="1:13" x14ac:dyDescent="0.2">
      <c r="A207"/>
      <c r="B207"/>
      <c r="C207"/>
      <c r="D207"/>
      <c r="E207" s="7"/>
      <c r="F207"/>
      <c r="G207"/>
      <c r="H207" s="10"/>
      <c r="I207" s="10"/>
      <c r="J207" s="10"/>
      <c r="K207" s="10"/>
      <c r="L207" s="10"/>
      <c r="M207" s="51"/>
    </row>
    <row r="208" spans="1:13" x14ac:dyDescent="0.2">
      <c r="A208"/>
      <c r="B208"/>
      <c r="C208"/>
      <c r="D208"/>
      <c r="E208" s="7"/>
      <c r="F208"/>
      <c r="G208"/>
      <c r="H208" s="10"/>
      <c r="I208" s="10"/>
      <c r="J208" s="10"/>
      <c r="K208" s="10"/>
      <c r="L208" s="10"/>
      <c r="M208" s="51"/>
    </row>
    <row r="209" spans="1:13" x14ac:dyDescent="0.2">
      <c r="A209"/>
      <c r="B209"/>
      <c r="C209"/>
      <c r="D209"/>
      <c r="E209" s="7"/>
      <c r="F209"/>
      <c r="G209"/>
      <c r="H209" s="10"/>
      <c r="I209" s="10"/>
      <c r="J209" s="10"/>
      <c r="K209" s="10"/>
      <c r="L209" s="10"/>
      <c r="M209" s="51"/>
    </row>
    <row r="210" spans="1:13" x14ac:dyDescent="0.2">
      <c r="A210"/>
      <c r="B210"/>
      <c r="C210"/>
      <c r="D210"/>
      <c r="E210" s="7"/>
      <c r="F210"/>
      <c r="G210"/>
      <c r="H210" s="10"/>
      <c r="I210" s="10"/>
      <c r="J210" s="10"/>
      <c r="K210" s="10"/>
      <c r="L210" s="10"/>
      <c r="M210" s="51"/>
    </row>
    <row r="211" spans="1:13" x14ac:dyDescent="0.2">
      <c r="A211"/>
      <c r="B211"/>
      <c r="C211"/>
      <c r="D211"/>
      <c r="E211" s="7"/>
      <c r="F211"/>
      <c r="G211"/>
      <c r="H211" s="10"/>
      <c r="I211" s="10"/>
      <c r="J211" s="10"/>
      <c r="K211" s="10"/>
      <c r="L211" s="10"/>
      <c r="M211" s="51"/>
    </row>
    <row r="212" spans="1:13" x14ac:dyDescent="0.2">
      <c r="A212"/>
      <c r="B212"/>
      <c r="C212"/>
      <c r="D212"/>
      <c r="E212" s="7"/>
      <c r="F212"/>
      <c r="G212"/>
      <c r="H212" s="10"/>
      <c r="I212" s="10"/>
      <c r="J212" s="10"/>
      <c r="K212" s="10"/>
      <c r="L212" s="10"/>
      <c r="M212" s="51"/>
    </row>
    <row r="213" spans="1:13" x14ac:dyDescent="0.2">
      <c r="A213"/>
      <c r="B213"/>
      <c r="C213"/>
      <c r="D213"/>
      <c r="E213" s="7"/>
      <c r="F213"/>
      <c r="G213"/>
      <c r="H213" s="10"/>
      <c r="I213" s="10"/>
      <c r="J213" s="10"/>
      <c r="K213" s="10"/>
      <c r="L213" s="10"/>
      <c r="M213" s="51"/>
    </row>
    <row r="214" spans="1:13" x14ac:dyDescent="0.2">
      <c r="A214"/>
      <c r="B214"/>
      <c r="C214"/>
      <c r="D214"/>
      <c r="E214" s="7"/>
      <c r="F214"/>
      <c r="G214"/>
      <c r="H214" s="10"/>
      <c r="I214" s="10"/>
      <c r="J214" s="10"/>
      <c r="K214" s="10"/>
      <c r="L214" s="10"/>
      <c r="M214" s="51"/>
    </row>
    <row r="215" spans="1:13" x14ac:dyDescent="0.2">
      <c r="A215"/>
      <c r="B215"/>
      <c r="C215"/>
      <c r="D215"/>
      <c r="E215" s="7"/>
      <c r="F215"/>
      <c r="G215"/>
      <c r="H215" s="10"/>
      <c r="I215" s="10"/>
      <c r="J215" s="10"/>
      <c r="K215" s="10"/>
      <c r="L215" s="10"/>
      <c r="M215" s="51"/>
    </row>
    <row r="216" spans="1:13" x14ac:dyDescent="0.2">
      <c r="A216"/>
      <c r="B216"/>
      <c r="C216"/>
      <c r="D216"/>
      <c r="E216" s="7"/>
      <c r="F216"/>
      <c r="G216"/>
      <c r="H216" s="10"/>
      <c r="I216" s="10"/>
      <c r="J216" s="10"/>
      <c r="K216" s="10"/>
      <c r="L216" s="10"/>
      <c r="M216" s="51"/>
    </row>
    <row r="217" spans="1:13" x14ac:dyDescent="0.2">
      <c r="A217"/>
      <c r="B217"/>
      <c r="C217"/>
      <c r="D217"/>
      <c r="E217" s="7"/>
      <c r="F217"/>
      <c r="G217"/>
      <c r="H217" s="10"/>
      <c r="I217" s="10"/>
      <c r="J217" s="10"/>
      <c r="K217" s="10"/>
      <c r="L217" s="10"/>
      <c r="M217" s="51"/>
    </row>
    <row r="218" spans="1:13" x14ac:dyDescent="0.2">
      <c r="A218"/>
      <c r="B218"/>
      <c r="C218"/>
      <c r="D218"/>
      <c r="E218" s="7"/>
      <c r="F218"/>
      <c r="G218"/>
      <c r="H218" s="10"/>
      <c r="I218" s="10"/>
      <c r="J218" s="10"/>
      <c r="K218" s="10"/>
      <c r="L218" s="10"/>
      <c r="M218" s="51"/>
    </row>
    <row r="219" spans="1:13" x14ac:dyDescent="0.2">
      <c r="A219"/>
      <c r="B219"/>
      <c r="C219"/>
      <c r="D219"/>
      <c r="E219" s="7"/>
      <c r="F219"/>
      <c r="G219"/>
      <c r="H219" s="10"/>
      <c r="I219" s="10"/>
      <c r="J219" s="10"/>
      <c r="K219" s="10"/>
      <c r="L219" s="10"/>
      <c r="M219" s="51"/>
    </row>
    <row r="220" spans="1:13" x14ac:dyDescent="0.2">
      <c r="A220"/>
      <c r="B220"/>
      <c r="C220"/>
      <c r="D220"/>
      <c r="E220" s="7"/>
      <c r="F220"/>
      <c r="G220"/>
      <c r="H220" s="10"/>
      <c r="I220" s="10"/>
      <c r="J220" s="10"/>
      <c r="K220" s="10"/>
      <c r="L220" s="10"/>
      <c r="M220" s="51"/>
    </row>
    <row r="221" spans="1:13" x14ac:dyDescent="0.2">
      <c r="A221"/>
      <c r="B221"/>
      <c r="C221"/>
      <c r="D221"/>
      <c r="E221" s="7"/>
      <c r="F221"/>
      <c r="G221"/>
      <c r="H221" s="10"/>
      <c r="I221" s="10"/>
      <c r="J221" s="10"/>
      <c r="K221" s="10"/>
      <c r="L221" s="10"/>
      <c r="M221" s="51"/>
    </row>
    <row r="222" spans="1:13" x14ac:dyDescent="0.2">
      <c r="A222"/>
      <c r="B222"/>
      <c r="C222"/>
      <c r="D222"/>
      <c r="E222" s="7"/>
      <c r="F222"/>
      <c r="G222"/>
      <c r="H222" s="10"/>
      <c r="I222" s="10"/>
      <c r="J222" s="10"/>
      <c r="K222" s="10"/>
      <c r="L222" s="10"/>
      <c r="M222" s="51"/>
    </row>
    <row r="223" spans="1:13" x14ac:dyDescent="0.2">
      <c r="A223"/>
      <c r="B223"/>
      <c r="C223"/>
      <c r="D223"/>
      <c r="E223" s="7"/>
      <c r="F223"/>
      <c r="G223"/>
      <c r="H223" s="10"/>
      <c r="I223" s="10"/>
      <c r="J223" s="10"/>
      <c r="K223" s="10"/>
      <c r="L223" s="10"/>
      <c r="M223" s="51"/>
    </row>
    <row r="224" spans="1:13" x14ac:dyDescent="0.2">
      <c r="A224"/>
      <c r="B224"/>
      <c r="C224"/>
      <c r="D224"/>
      <c r="E224" s="7"/>
      <c r="F224"/>
      <c r="G224"/>
      <c r="H224" s="10"/>
      <c r="I224" s="10"/>
      <c r="J224" s="10"/>
      <c r="K224" s="10"/>
      <c r="L224" s="10"/>
      <c r="M224" s="51"/>
    </row>
    <row r="225" spans="1:13" x14ac:dyDescent="0.2">
      <c r="A225"/>
      <c r="B225"/>
      <c r="C225"/>
      <c r="D225"/>
      <c r="E225" s="7"/>
      <c r="F225"/>
      <c r="G225"/>
      <c r="H225" s="10"/>
      <c r="I225" s="10"/>
      <c r="J225" s="10"/>
      <c r="K225" s="10"/>
      <c r="L225" s="10"/>
      <c r="M225" s="51"/>
    </row>
    <row r="226" spans="1:13" x14ac:dyDescent="0.2">
      <c r="A226"/>
      <c r="B226"/>
      <c r="C226"/>
      <c r="D226"/>
      <c r="E226" s="7"/>
      <c r="F226"/>
      <c r="G226"/>
      <c r="H226" s="10"/>
      <c r="I226" s="10"/>
      <c r="J226" s="10"/>
      <c r="K226" s="10"/>
      <c r="L226" s="10"/>
      <c r="M226" s="51"/>
    </row>
    <row r="227" spans="1:13" x14ac:dyDescent="0.2">
      <c r="A227"/>
      <c r="B227"/>
      <c r="C227"/>
      <c r="D227"/>
      <c r="E227" s="7"/>
      <c r="F227"/>
      <c r="G227"/>
      <c r="H227" s="10"/>
      <c r="I227" s="10"/>
      <c r="J227" s="10"/>
      <c r="K227" s="10"/>
      <c r="L227" s="10"/>
      <c r="M227" s="51"/>
    </row>
    <row r="228" spans="1:13" x14ac:dyDescent="0.2">
      <c r="A228"/>
      <c r="B228"/>
      <c r="C228"/>
      <c r="D228"/>
      <c r="E228" s="7"/>
      <c r="F228"/>
      <c r="G228"/>
      <c r="H228" s="10"/>
      <c r="I228" s="10"/>
      <c r="J228" s="10"/>
      <c r="K228" s="10"/>
      <c r="L228" s="10"/>
      <c r="M228" s="51"/>
    </row>
    <row r="229" spans="1:13" x14ac:dyDescent="0.2">
      <c r="A229"/>
      <c r="B229"/>
      <c r="C229"/>
      <c r="D229"/>
      <c r="E229" s="7"/>
      <c r="F229"/>
      <c r="G229"/>
      <c r="H229" s="10"/>
      <c r="I229" s="10"/>
      <c r="J229" s="10"/>
      <c r="K229" s="10"/>
      <c r="L229" s="10"/>
      <c r="M229" s="51"/>
    </row>
    <row r="230" spans="1:13" x14ac:dyDescent="0.2">
      <c r="A230"/>
      <c r="B230"/>
      <c r="C230"/>
      <c r="D230"/>
      <c r="E230" s="7"/>
      <c r="F230"/>
      <c r="G230"/>
      <c r="H230" s="10"/>
      <c r="I230" s="10"/>
      <c r="J230" s="10"/>
      <c r="K230" s="10"/>
      <c r="L230" s="10"/>
      <c r="M230" s="51"/>
    </row>
    <row r="231" spans="1:13" x14ac:dyDescent="0.2">
      <c r="A231"/>
      <c r="B231"/>
      <c r="C231"/>
      <c r="D231"/>
      <c r="E231" s="7"/>
      <c r="F231"/>
      <c r="G231"/>
      <c r="H231" s="10"/>
      <c r="I231" s="10"/>
      <c r="J231" s="10"/>
      <c r="K231" s="10"/>
      <c r="L231" s="10"/>
      <c r="M231" s="51"/>
    </row>
    <row r="232" spans="1:13" x14ac:dyDescent="0.2">
      <c r="A232"/>
      <c r="B232"/>
      <c r="C232"/>
      <c r="D232"/>
      <c r="E232" s="7"/>
      <c r="F232"/>
      <c r="G232"/>
      <c r="H232" s="10"/>
      <c r="I232" s="10"/>
      <c r="J232" s="10"/>
      <c r="K232" s="10"/>
      <c r="L232" s="10"/>
      <c r="M232" s="51"/>
    </row>
    <row r="233" spans="1:13" x14ac:dyDescent="0.2">
      <c r="A233"/>
      <c r="B233"/>
      <c r="C233"/>
      <c r="D233"/>
      <c r="E233" s="7"/>
      <c r="F233"/>
      <c r="G233"/>
      <c r="H233" s="10"/>
      <c r="I233" s="10"/>
      <c r="J233" s="10"/>
      <c r="K233" s="10"/>
      <c r="L233" s="10"/>
      <c r="M233" s="51"/>
    </row>
    <row r="234" spans="1:13" x14ac:dyDescent="0.2">
      <c r="A234"/>
      <c r="B234"/>
      <c r="C234"/>
      <c r="D234"/>
      <c r="E234" s="7"/>
      <c r="F234"/>
      <c r="G234"/>
      <c r="H234" s="10"/>
      <c r="I234" s="10"/>
      <c r="J234" s="10"/>
      <c r="K234" s="10"/>
      <c r="L234" s="10"/>
      <c r="M234" s="51"/>
    </row>
    <row r="235" spans="1:13" x14ac:dyDescent="0.2">
      <c r="A235"/>
      <c r="B235"/>
      <c r="C235"/>
      <c r="D235"/>
      <c r="E235" s="7"/>
      <c r="F235"/>
      <c r="G235"/>
      <c r="H235" s="10"/>
      <c r="I235" s="10"/>
      <c r="J235" s="10"/>
      <c r="K235" s="10"/>
      <c r="L235" s="10"/>
      <c r="M235" s="51"/>
    </row>
  </sheetData>
  <pageMargins left="0.75" right="0.75" top="1" bottom="1" header="0.5" footer="0.5"/>
  <pageSetup scale="7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239"/>
  <sheetViews>
    <sheetView zoomScale="120" zoomScaleNormal="120" workbookViewId="0">
      <pane ySplit="1" topLeftCell="A124" activePane="bottomLeft" state="frozen"/>
      <selection activeCell="L2" sqref="L2"/>
      <selection pane="bottomLeft" activeCell="A144" sqref="A144:XFD144"/>
    </sheetView>
  </sheetViews>
  <sheetFormatPr defaultColWidth="9.140625" defaultRowHeight="12.75" x14ac:dyDescent="0.2"/>
  <cols>
    <col min="1" max="1" width="10.140625" style="3" customWidth="1"/>
    <col min="2" max="2" width="25.7109375" style="3" customWidth="1"/>
    <col min="3" max="3" width="10.85546875" style="3" bestFit="1" customWidth="1"/>
    <col min="4" max="4" width="13.7109375" style="3" customWidth="1"/>
    <col min="5" max="5" width="11.42578125" style="8" customWidth="1"/>
    <col min="6" max="7" width="8" style="3" customWidth="1"/>
    <col min="8" max="8" width="8" style="11" customWidth="1"/>
    <col min="9" max="9" width="10.5703125" style="11" customWidth="1"/>
    <col min="10" max="10" width="15.28515625" style="28" customWidth="1"/>
    <col min="11" max="11" width="9.140625" style="28" customWidth="1"/>
    <col min="12" max="12" width="8" style="69" customWidth="1"/>
    <col min="13" max="13" width="116.28515625" style="82" customWidth="1"/>
    <col min="14" max="14" width="27.85546875" style="14" bestFit="1" customWidth="1"/>
    <col min="15" max="16384" width="9.140625" style="3"/>
  </cols>
  <sheetData>
    <row r="1" spans="1:14" s="1" customFormat="1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1" t="s">
        <v>5</v>
      </c>
      <c r="G1" s="1" t="s">
        <v>6</v>
      </c>
      <c r="H1" s="9" t="s">
        <v>7</v>
      </c>
      <c r="I1" s="30" t="s">
        <v>8</v>
      </c>
      <c r="J1" s="30" t="s">
        <v>9</v>
      </c>
      <c r="K1" s="16" t="s">
        <v>10</v>
      </c>
      <c r="L1" s="16" t="s">
        <v>11</v>
      </c>
      <c r="M1" s="77" t="s">
        <v>12</v>
      </c>
      <c r="N1" s="13"/>
    </row>
    <row r="2" spans="1:14" x14ac:dyDescent="0.2">
      <c r="A2" t="s">
        <v>138</v>
      </c>
      <c r="B2" t="s">
        <v>139</v>
      </c>
      <c r="C2" s="5">
        <v>43509</v>
      </c>
      <c r="D2" s="2" t="s">
        <v>15</v>
      </c>
      <c r="E2" s="7">
        <v>29459</v>
      </c>
      <c r="F2"/>
      <c r="G2"/>
      <c r="H2" s="62">
        <f>H14</f>
        <v>-1.72</v>
      </c>
      <c r="I2" s="64">
        <f>I14</f>
        <v>335.7</v>
      </c>
      <c r="J2" s="31">
        <f>J14</f>
        <v>333.2</v>
      </c>
      <c r="K2" s="26">
        <f>K14</f>
        <v>-2.5</v>
      </c>
      <c r="L2" s="66"/>
      <c r="M2" s="2" t="s">
        <v>140</v>
      </c>
      <c r="N2" s="3"/>
    </row>
    <row r="3" spans="1:14" x14ac:dyDescent="0.2">
      <c r="A3" t="s">
        <v>138</v>
      </c>
      <c r="B3" t="s">
        <v>139</v>
      </c>
      <c r="C3" s="5">
        <v>43509</v>
      </c>
      <c r="D3" s="2" t="s">
        <v>17</v>
      </c>
      <c r="E3" s="7">
        <v>9934</v>
      </c>
      <c r="F3"/>
      <c r="G3"/>
      <c r="H3" s="10">
        <f>1.51-2.96</f>
        <v>-1.45</v>
      </c>
      <c r="I3" s="10"/>
      <c r="J3" s="27"/>
      <c r="K3" s="27"/>
      <c r="L3" s="7"/>
      <c r="M3" s="81" t="s">
        <v>18</v>
      </c>
    </row>
    <row r="4" spans="1:14" x14ac:dyDescent="0.2">
      <c r="A4" t="s">
        <v>138</v>
      </c>
      <c r="B4" t="s">
        <v>139</v>
      </c>
      <c r="C4" s="5">
        <v>43509</v>
      </c>
      <c r="D4" s="2" t="s">
        <v>44</v>
      </c>
      <c r="E4" s="7">
        <v>14808</v>
      </c>
      <c r="F4"/>
      <c r="G4"/>
      <c r="H4" s="10">
        <f>-0.34-0.945</f>
        <v>-1.2849999999999999</v>
      </c>
      <c r="I4" s="33">
        <v>172.1</v>
      </c>
      <c r="J4" s="27">
        <v>171.2</v>
      </c>
      <c r="K4" s="34">
        <f>J4-I4</f>
        <v>-0.90000000000000568</v>
      </c>
      <c r="L4" s="67">
        <f>-(941-36)</f>
        <v>-905</v>
      </c>
      <c r="M4" s="81" t="s">
        <v>141</v>
      </c>
      <c r="N4" s="17"/>
    </row>
    <row r="5" spans="1:14" x14ac:dyDescent="0.2">
      <c r="A5" t="s">
        <v>138</v>
      </c>
      <c r="B5" t="s">
        <v>139</v>
      </c>
      <c r="C5" s="5">
        <v>43509</v>
      </c>
      <c r="D5" s="2" t="s">
        <v>84</v>
      </c>
      <c r="E5" s="7">
        <v>19160</v>
      </c>
      <c r="F5"/>
      <c r="G5"/>
      <c r="H5" s="10">
        <f>H4-0.1</f>
        <v>-1.385</v>
      </c>
      <c r="I5" s="10"/>
      <c r="J5" s="27"/>
      <c r="K5" s="27"/>
      <c r="L5" s="7"/>
      <c r="M5" s="81" t="s">
        <v>142</v>
      </c>
      <c r="N5" s="17"/>
    </row>
    <row r="6" spans="1:14" x14ac:dyDescent="0.2">
      <c r="A6" t="s">
        <v>138</v>
      </c>
      <c r="B6" t="s">
        <v>139</v>
      </c>
      <c r="C6" s="5">
        <v>43509</v>
      </c>
      <c r="D6" s="2" t="s">
        <v>19</v>
      </c>
      <c r="E6" s="12">
        <v>2101</v>
      </c>
      <c r="F6"/>
      <c r="G6"/>
      <c r="H6" s="10"/>
      <c r="I6" s="10"/>
      <c r="J6" s="27"/>
      <c r="K6" s="27"/>
      <c r="L6" s="7"/>
      <c r="M6" s="51"/>
      <c r="N6" s="17"/>
    </row>
    <row r="7" spans="1:14" x14ac:dyDescent="0.2">
      <c r="A7" t="s">
        <v>138</v>
      </c>
      <c r="B7" t="s">
        <v>139</v>
      </c>
      <c r="C7" s="5">
        <v>43509</v>
      </c>
      <c r="D7" s="2" t="s">
        <v>20</v>
      </c>
      <c r="E7" s="12"/>
      <c r="F7"/>
      <c r="G7"/>
      <c r="H7" s="10">
        <v>-0.28000000000000003</v>
      </c>
      <c r="I7" s="10"/>
      <c r="J7" s="27"/>
      <c r="K7" s="27"/>
      <c r="L7" s="7"/>
      <c r="M7" s="51"/>
      <c r="N7" s="29"/>
    </row>
    <row r="8" spans="1:14" x14ac:dyDescent="0.2">
      <c r="A8" t="s">
        <v>138</v>
      </c>
      <c r="B8" t="s">
        <v>139</v>
      </c>
      <c r="C8" s="5">
        <v>43509</v>
      </c>
      <c r="D8" s="2" t="s">
        <v>21</v>
      </c>
      <c r="E8" s="12"/>
      <c r="F8">
        <v>156581</v>
      </c>
      <c r="G8">
        <v>517618</v>
      </c>
      <c r="H8" s="10">
        <v>3.06</v>
      </c>
      <c r="I8" s="10"/>
      <c r="J8" s="27"/>
      <c r="K8" s="27"/>
      <c r="L8" s="7"/>
      <c r="M8" s="51"/>
      <c r="N8" s="17"/>
    </row>
    <row r="9" spans="1:14" x14ac:dyDescent="0.2">
      <c r="A9" t="s">
        <v>138</v>
      </c>
      <c r="B9" t="s">
        <v>139</v>
      </c>
      <c r="C9" s="5">
        <v>43523</v>
      </c>
      <c r="D9" s="41" t="s">
        <v>23</v>
      </c>
      <c r="E9" s="7"/>
      <c r="F9"/>
      <c r="G9"/>
      <c r="H9" s="10">
        <v>-1.99</v>
      </c>
      <c r="I9" s="10"/>
      <c r="J9" s="27"/>
      <c r="K9" s="27"/>
      <c r="L9" s="7"/>
      <c r="M9" s="85" t="s">
        <v>89</v>
      </c>
      <c r="N9" s="17"/>
    </row>
    <row r="10" spans="1:14" x14ac:dyDescent="0.2">
      <c r="A10" t="s">
        <v>138</v>
      </c>
      <c r="B10" t="s">
        <v>139</v>
      </c>
      <c r="C10" s="5">
        <v>43523</v>
      </c>
      <c r="D10" s="2" t="s">
        <v>143</v>
      </c>
      <c r="E10" s="7">
        <v>9934</v>
      </c>
      <c r="F10"/>
      <c r="G10"/>
      <c r="H10" s="10">
        <v>-1.47</v>
      </c>
      <c r="I10" s="10"/>
      <c r="J10" s="27"/>
      <c r="K10" s="27"/>
      <c r="L10" s="7"/>
      <c r="M10" s="81" t="s">
        <v>144</v>
      </c>
    </row>
    <row r="11" spans="1:14" x14ac:dyDescent="0.2">
      <c r="A11" t="s">
        <v>138</v>
      </c>
      <c r="B11" t="s">
        <v>139</v>
      </c>
      <c r="C11" s="5">
        <v>43523</v>
      </c>
      <c r="D11" s="2" t="s">
        <v>44</v>
      </c>
      <c r="E11" s="7">
        <v>14808</v>
      </c>
      <c r="F11"/>
      <c r="G11"/>
      <c r="H11" s="10">
        <f>-0.28-0.945</f>
        <v>-1.2250000000000001</v>
      </c>
      <c r="I11" s="27">
        <v>172.1</v>
      </c>
      <c r="J11" s="27">
        <v>171.2</v>
      </c>
      <c r="K11" s="27">
        <v>-0.90000000000000568</v>
      </c>
      <c r="L11" s="67">
        <f>-(941-36)</f>
        <v>-905</v>
      </c>
      <c r="M11" s="51" t="s">
        <v>47</v>
      </c>
    </row>
    <row r="12" spans="1:14" x14ac:dyDescent="0.2">
      <c r="A12" t="s">
        <v>138</v>
      </c>
      <c r="B12" t="s">
        <v>139</v>
      </c>
      <c r="C12" s="5">
        <v>43523</v>
      </c>
      <c r="D12" s="2" t="s">
        <v>84</v>
      </c>
      <c r="E12" s="7">
        <v>19160</v>
      </c>
      <c r="F12"/>
      <c r="G12"/>
      <c r="H12" s="10">
        <f>H11-0.1</f>
        <v>-1.3250000000000002</v>
      </c>
      <c r="I12" s="10"/>
      <c r="J12" s="27"/>
      <c r="K12" s="27"/>
      <c r="L12" s="7"/>
      <c r="M12" s="81" t="s">
        <v>142</v>
      </c>
    </row>
    <row r="13" spans="1:14" x14ac:dyDescent="0.2">
      <c r="A13" t="s">
        <v>138</v>
      </c>
      <c r="B13" t="s">
        <v>139</v>
      </c>
      <c r="C13" s="5">
        <v>43523</v>
      </c>
      <c r="D13" s="2" t="s">
        <v>21</v>
      </c>
      <c r="E13" s="7"/>
      <c r="F13">
        <v>156581</v>
      </c>
      <c r="G13">
        <v>517618</v>
      </c>
      <c r="H13" s="10">
        <v>2.96</v>
      </c>
      <c r="I13" s="10"/>
      <c r="J13" s="27"/>
      <c r="K13" s="27"/>
      <c r="L13" s="7"/>
      <c r="M13" s="3" t="s">
        <v>145</v>
      </c>
    </row>
    <row r="14" spans="1:14" x14ac:dyDescent="0.2">
      <c r="A14" s="18" t="s">
        <v>138</v>
      </c>
      <c r="B14" t="s">
        <v>139</v>
      </c>
      <c r="C14" s="5">
        <v>43523</v>
      </c>
      <c r="D14" s="41" t="s">
        <v>15</v>
      </c>
      <c r="E14" s="7">
        <v>29459</v>
      </c>
      <c r="F14"/>
      <c r="G14"/>
      <c r="H14" s="10">
        <v>-1.72</v>
      </c>
      <c r="I14" s="65">
        <v>335.7</v>
      </c>
      <c r="J14" s="31">
        <v>333.2</v>
      </c>
      <c r="K14" s="34">
        <v>-2.5</v>
      </c>
      <c r="L14" s="68"/>
      <c r="M14" s="81" t="s">
        <v>146</v>
      </c>
    </row>
    <row r="15" spans="1:14" x14ac:dyDescent="0.2">
      <c r="A15" s="18" t="s">
        <v>138</v>
      </c>
      <c r="B15" t="s">
        <v>139</v>
      </c>
      <c r="C15" s="5">
        <v>43543</v>
      </c>
      <c r="D15" s="3" t="s">
        <v>17</v>
      </c>
      <c r="E15" s="7">
        <v>9934</v>
      </c>
      <c r="F15"/>
      <c r="G15"/>
      <c r="H15" s="19">
        <f>-1.47-0.007</f>
        <v>-1.4769999999999999</v>
      </c>
      <c r="I15" s="10"/>
      <c r="J15" s="10"/>
      <c r="K15" s="10"/>
      <c r="L15" s="7"/>
      <c r="M15" s="85" t="s">
        <v>26</v>
      </c>
    </row>
    <row r="16" spans="1:14" x14ac:dyDescent="0.2">
      <c r="A16" s="18" t="s">
        <v>138</v>
      </c>
      <c r="B16" t="s">
        <v>139</v>
      </c>
      <c r="C16" s="40">
        <v>43551</v>
      </c>
      <c r="D16" s="41" t="s">
        <v>23</v>
      </c>
      <c r="E16" s="42"/>
      <c r="F16" s="20"/>
      <c r="G16" s="20"/>
      <c r="H16" s="19">
        <v>-1.9473</v>
      </c>
      <c r="I16" s="10"/>
      <c r="J16" s="27"/>
      <c r="K16" s="27"/>
      <c r="L16" s="7"/>
      <c r="M16" s="51"/>
    </row>
    <row r="17" spans="1:14" x14ac:dyDescent="0.2">
      <c r="A17" s="18" t="s">
        <v>138</v>
      </c>
      <c r="B17" t="s">
        <v>139</v>
      </c>
      <c r="C17" s="40">
        <v>43551</v>
      </c>
      <c r="D17" s="41" t="s">
        <v>15</v>
      </c>
      <c r="E17" s="7">
        <v>29459</v>
      </c>
      <c r="F17" s="20"/>
      <c r="G17" s="20"/>
      <c r="H17" s="19">
        <f>-1.9473+0.181</f>
        <v>-1.7663</v>
      </c>
      <c r="I17" s="27">
        <v>335.7</v>
      </c>
      <c r="J17" s="27">
        <v>333.2</v>
      </c>
      <c r="K17" s="27">
        <v>-2.5</v>
      </c>
      <c r="L17" s="7"/>
      <c r="M17" s="51"/>
    </row>
    <row r="18" spans="1:14" x14ac:dyDescent="0.2">
      <c r="A18" s="18" t="s">
        <v>138</v>
      </c>
      <c r="B18" t="s">
        <v>139</v>
      </c>
      <c r="C18" s="40">
        <v>43551</v>
      </c>
      <c r="D18" s="41" t="s">
        <v>21</v>
      </c>
      <c r="E18" s="42"/>
      <c r="F18">
        <v>156581</v>
      </c>
      <c r="G18">
        <v>517618</v>
      </c>
      <c r="H18" s="19">
        <v>3.0228000000000002</v>
      </c>
      <c r="I18" s="10"/>
      <c r="J18" s="27"/>
      <c r="K18" s="27"/>
      <c r="L18" s="7"/>
      <c r="M18" s="51" t="s">
        <v>76</v>
      </c>
    </row>
    <row r="19" spans="1:14" x14ac:dyDescent="0.2">
      <c r="A19" s="18" t="s">
        <v>138</v>
      </c>
      <c r="B19" t="s">
        <v>139</v>
      </c>
      <c r="C19" s="40">
        <v>43551</v>
      </c>
      <c r="D19" s="41" t="s">
        <v>17</v>
      </c>
      <c r="E19" s="7">
        <v>9934</v>
      </c>
      <c r="F19" s="20"/>
      <c r="G19" s="20"/>
      <c r="H19" s="19">
        <f>1.5081-2.967</f>
        <v>-1.4589000000000001</v>
      </c>
      <c r="I19" s="10"/>
      <c r="J19" s="27"/>
      <c r="K19" s="27"/>
      <c r="L19" s="7"/>
      <c r="M19" s="51"/>
    </row>
    <row r="20" spans="1:14" x14ac:dyDescent="0.2">
      <c r="A20" s="18" t="s">
        <v>138</v>
      </c>
      <c r="B20" t="s">
        <v>139</v>
      </c>
      <c r="C20" s="40">
        <v>43551</v>
      </c>
      <c r="D20" s="2" t="s">
        <v>44</v>
      </c>
      <c r="E20" s="7">
        <v>14808</v>
      </c>
      <c r="F20"/>
      <c r="G20"/>
      <c r="H20" s="10">
        <f>0.6621-0.945-1.11</f>
        <v>-1.3929</v>
      </c>
      <c r="I20" s="27">
        <v>172.1</v>
      </c>
      <c r="J20" s="27">
        <v>171.2</v>
      </c>
      <c r="K20" s="27">
        <v>-0.90000000000000568</v>
      </c>
      <c r="L20" s="67">
        <f>-(941-36)</f>
        <v>-905</v>
      </c>
      <c r="M20" s="51" t="s">
        <v>147</v>
      </c>
    </row>
    <row r="21" spans="1:14" x14ac:dyDescent="0.2">
      <c r="A21" s="18" t="s">
        <v>138</v>
      </c>
      <c r="B21" t="s">
        <v>139</v>
      </c>
      <c r="C21" s="40">
        <v>43551</v>
      </c>
      <c r="D21" s="2" t="s">
        <v>84</v>
      </c>
      <c r="E21" s="7">
        <v>19160</v>
      </c>
      <c r="F21"/>
      <c r="G21"/>
      <c r="H21" s="10">
        <f>H20-0.1</f>
        <v>-1.4929000000000001</v>
      </c>
      <c r="I21" s="10"/>
      <c r="J21" s="27"/>
      <c r="K21" s="27"/>
      <c r="L21" s="7"/>
      <c r="M21" s="51" t="s">
        <v>147</v>
      </c>
    </row>
    <row r="22" spans="1:14" x14ac:dyDescent="0.2">
      <c r="A22" s="18" t="s">
        <v>138</v>
      </c>
      <c r="B22" t="s">
        <v>139</v>
      </c>
      <c r="C22" s="40">
        <v>43570</v>
      </c>
      <c r="D22" s="41" t="s">
        <v>23</v>
      </c>
      <c r="E22" s="42"/>
      <c r="F22" s="20"/>
      <c r="G22" s="20"/>
      <c r="H22" s="19">
        <v>-1.901</v>
      </c>
      <c r="I22" s="10"/>
      <c r="J22" s="27"/>
      <c r="K22" s="27"/>
      <c r="L22" s="7"/>
      <c r="M22" s="51"/>
    </row>
    <row r="23" spans="1:14" x14ac:dyDescent="0.2">
      <c r="A23" s="18" t="s">
        <v>138</v>
      </c>
      <c r="B23" t="s">
        <v>139</v>
      </c>
      <c r="C23" s="40">
        <v>43570</v>
      </c>
      <c r="D23" s="41" t="s">
        <v>15</v>
      </c>
      <c r="E23" s="7">
        <v>29459</v>
      </c>
      <c r="F23" s="20"/>
      <c r="G23" s="20"/>
      <c r="H23" s="19">
        <f>H22+0.181</f>
        <v>-1.72</v>
      </c>
      <c r="I23" s="27">
        <v>335.7</v>
      </c>
      <c r="J23" s="27">
        <v>333.2</v>
      </c>
      <c r="K23" s="27">
        <v>-2.5</v>
      </c>
      <c r="L23" s="7"/>
      <c r="M23" s="51"/>
    </row>
    <row r="24" spans="1:14" x14ac:dyDescent="0.2">
      <c r="A24" s="18" t="s">
        <v>138</v>
      </c>
      <c r="B24" t="s">
        <v>139</v>
      </c>
      <c r="C24" s="40">
        <v>43570</v>
      </c>
      <c r="D24" s="41" t="s">
        <v>21</v>
      </c>
      <c r="E24" s="42"/>
      <c r="F24">
        <v>156581</v>
      </c>
      <c r="G24">
        <v>517618</v>
      </c>
      <c r="H24" s="19">
        <v>3.0179999999999998</v>
      </c>
      <c r="I24" s="10"/>
      <c r="J24" s="27"/>
      <c r="K24" s="27"/>
      <c r="L24" s="7"/>
      <c r="M24" s="51"/>
    </row>
    <row r="25" spans="1:14" x14ac:dyDescent="0.2">
      <c r="A25" s="18" t="s">
        <v>138</v>
      </c>
      <c r="B25" t="s">
        <v>139</v>
      </c>
      <c r="C25" s="40">
        <v>43570</v>
      </c>
      <c r="D25" s="41" t="s">
        <v>17</v>
      </c>
      <c r="E25" s="7">
        <v>9934</v>
      </c>
      <c r="F25" s="20"/>
      <c r="G25" s="20"/>
      <c r="H25" s="19">
        <f>1.4998-2.967</f>
        <v>-1.4672000000000001</v>
      </c>
      <c r="I25" s="10"/>
      <c r="J25" s="27"/>
      <c r="K25" s="27"/>
      <c r="L25" s="7"/>
      <c r="M25" s="51"/>
    </row>
    <row r="26" spans="1:14" x14ac:dyDescent="0.2">
      <c r="A26" s="18" t="s">
        <v>138</v>
      </c>
      <c r="B26" t="s">
        <v>139</v>
      </c>
      <c r="C26" s="40">
        <v>43570</v>
      </c>
      <c r="D26" s="2" t="s">
        <v>44</v>
      </c>
      <c r="E26" s="7">
        <v>14808</v>
      </c>
      <c r="F26"/>
      <c r="G26"/>
      <c r="H26" s="10">
        <f>-0.4508-0.945</f>
        <v>-1.3957999999999999</v>
      </c>
      <c r="I26" s="27">
        <v>172.1</v>
      </c>
      <c r="J26" s="27">
        <v>171.2</v>
      </c>
      <c r="K26" s="27">
        <v>-0.90000000000000568</v>
      </c>
      <c r="L26" s="67">
        <f>-(941-36)</f>
        <v>-905</v>
      </c>
      <c r="M26" s="51"/>
    </row>
    <row r="27" spans="1:14" x14ac:dyDescent="0.2">
      <c r="A27" s="18" t="s">
        <v>138</v>
      </c>
      <c r="B27" t="s">
        <v>139</v>
      </c>
      <c r="C27" s="40">
        <v>43570</v>
      </c>
      <c r="D27" s="2" t="s">
        <v>84</v>
      </c>
      <c r="E27" s="7">
        <v>19160</v>
      </c>
      <c r="F27"/>
      <c r="G27"/>
      <c r="H27" s="10">
        <f>H26-0.1</f>
        <v>-1.4958</v>
      </c>
      <c r="I27" s="10"/>
      <c r="J27" s="27"/>
      <c r="K27" s="27"/>
      <c r="L27" s="7"/>
      <c r="M27" s="51"/>
    </row>
    <row r="28" spans="1:14" x14ac:dyDescent="0.2">
      <c r="A28" s="18" t="s">
        <v>138</v>
      </c>
      <c r="B28" t="s">
        <v>139</v>
      </c>
      <c r="C28" s="40">
        <v>43606</v>
      </c>
      <c r="D28" s="41" t="s">
        <v>23</v>
      </c>
      <c r="E28" s="42"/>
      <c r="F28" s="20"/>
      <c r="G28" s="20"/>
      <c r="H28" s="19">
        <v>-1.9289000000000001</v>
      </c>
      <c r="I28" s="10"/>
      <c r="J28" s="27"/>
      <c r="K28" s="27"/>
      <c r="L28" s="7"/>
      <c r="M28" s="51"/>
    </row>
    <row r="29" spans="1:14" x14ac:dyDescent="0.2">
      <c r="A29" s="18" t="s">
        <v>138</v>
      </c>
      <c r="B29" t="s">
        <v>139</v>
      </c>
      <c r="C29" s="40">
        <v>43606</v>
      </c>
      <c r="D29" s="41" t="s">
        <v>21</v>
      </c>
      <c r="E29" s="42"/>
      <c r="F29">
        <v>156581</v>
      </c>
      <c r="G29">
        <v>517618</v>
      </c>
      <c r="H29" s="19">
        <v>3.0019999999999998</v>
      </c>
      <c r="I29" s="10"/>
      <c r="J29" s="27"/>
      <c r="K29" s="27"/>
      <c r="L29" s="7"/>
      <c r="M29" s="51"/>
    </row>
    <row r="30" spans="1:14" x14ac:dyDescent="0.2">
      <c r="A30" s="18" t="s">
        <v>138</v>
      </c>
      <c r="B30" t="s">
        <v>139</v>
      </c>
      <c r="C30" s="40">
        <v>43606</v>
      </c>
      <c r="D30" s="41" t="s">
        <v>17</v>
      </c>
      <c r="E30" s="7">
        <v>9934</v>
      </c>
      <c r="F30" s="20"/>
      <c r="G30" s="20"/>
      <c r="H30" s="19">
        <f>1.4958-2.967</f>
        <v>-1.4712000000000001</v>
      </c>
      <c r="I30" s="10"/>
      <c r="J30" s="27"/>
      <c r="K30" s="27"/>
      <c r="L30" s="7"/>
      <c r="M30" s="51" t="s">
        <v>29</v>
      </c>
    </row>
    <row r="31" spans="1:14" x14ac:dyDescent="0.2">
      <c r="A31" s="18" t="s">
        <v>138</v>
      </c>
      <c r="B31" t="s">
        <v>139</v>
      </c>
      <c r="C31" s="40">
        <v>43634</v>
      </c>
      <c r="D31" s="41" t="s">
        <v>23</v>
      </c>
      <c r="E31" s="42"/>
      <c r="F31" s="20"/>
      <c r="G31" s="20"/>
      <c r="H31" s="19">
        <v>-1.9289000000000001</v>
      </c>
      <c r="I31" s="10"/>
      <c r="J31" s="27"/>
      <c r="K31" s="27"/>
      <c r="L31" s="7"/>
      <c r="M31" s="45">
        <v>-1.9033</v>
      </c>
    </row>
    <row r="32" spans="1:14" s="4" customFormat="1" x14ac:dyDescent="0.2">
      <c r="A32" s="18" t="s">
        <v>138</v>
      </c>
      <c r="B32" t="s">
        <v>139</v>
      </c>
      <c r="C32" s="40">
        <v>43634</v>
      </c>
      <c r="D32" s="41" t="s">
        <v>15</v>
      </c>
      <c r="E32" s="7">
        <v>29459</v>
      </c>
      <c r="F32" s="20"/>
      <c r="G32" s="20"/>
      <c r="H32" s="19">
        <f>H31+0.181</f>
        <v>-1.7479</v>
      </c>
      <c r="I32" s="27">
        <v>335.7</v>
      </c>
      <c r="J32" s="27">
        <v>333.2</v>
      </c>
      <c r="K32" s="27">
        <v>-2.5</v>
      </c>
      <c r="L32" s="7"/>
      <c r="M32" s="45">
        <f>M31+0.181</f>
        <v>-1.7222999999999999</v>
      </c>
      <c r="N32" s="15"/>
    </row>
    <row r="33" spans="1:13" x14ac:dyDescent="0.2">
      <c r="A33" s="18" t="s">
        <v>138</v>
      </c>
      <c r="B33" t="s">
        <v>139</v>
      </c>
      <c r="C33" s="40">
        <v>43634</v>
      </c>
      <c r="D33" s="41" t="s">
        <v>21</v>
      </c>
      <c r="E33" s="42"/>
      <c r="F33">
        <v>156581</v>
      </c>
      <c r="G33">
        <v>517618</v>
      </c>
      <c r="H33" s="19">
        <v>3.0019999999999998</v>
      </c>
      <c r="I33" s="10"/>
      <c r="J33" s="27"/>
      <c r="K33" s="27"/>
      <c r="L33" s="7"/>
      <c r="M33" s="45">
        <v>2.9998</v>
      </c>
    </row>
    <row r="34" spans="1:13" x14ac:dyDescent="0.2">
      <c r="A34" s="18" t="s">
        <v>138</v>
      </c>
      <c r="B34" t="s">
        <v>139</v>
      </c>
      <c r="C34" s="40">
        <v>43634</v>
      </c>
      <c r="D34" s="41" t="s">
        <v>17</v>
      </c>
      <c r="E34" s="7">
        <v>9934</v>
      </c>
      <c r="F34" s="20"/>
      <c r="G34" s="20"/>
      <c r="H34" s="19">
        <f>1.4958-2.967</f>
        <v>-1.4712000000000001</v>
      </c>
      <c r="I34" s="10"/>
      <c r="J34" s="27"/>
      <c r="K34" s="27"/>
      <c r="L34" s="7"/>
      <c r="M34" s="45">
        <f>1.495-2.967</f>
        <v>-1.472</v>
      </c>
    </row>
    <row r="35" spans="1:13" x14ac:dyDescent="0.2">
      <c r="A35" s="18" t="s">
        <v>138</v>
      </c>
      <c r="B35" t="s">
        <v>139</v>
      </c>
      <c r="C35" s="40">
        <v>43634</v>
      </c>
      <c r="D35" s="2" t="s">
        <v>44</v>
      </c>
      <c r="E35" s="7">
        <v>14808</v>
      </c>
      <c r="F35"/>
      <c r="G35"/>
      <c r="H35" s="10">
        <f>-0.4508-0.945</f>
        <v>-1.3957999999999999</v>
      </c>
      <c r="I35" s="27">
        <v>172.1</v>
      </c>
      <c r="J35" s="27">
        <v>171.2</v>
      </c>
      <c r="K35" s="27">
        <v>-0.90000000000000568</v>
      </c>
      <c r="L35" s="67">
        <f>-(941-36)</f>
        <v>-905</v>
      </c>
      <c r="M35" s="46">
        <f>-0.4609-0.945</f>
        <v>-1.4058999999999999</v>
      </c>
    </row>
    <row r="36" spans="1:13" x14ac:dyDescent="0.2">
      <c r="A36" s="18" t="s">
        <v>138</v>
      </c>
      <c r="B36" t="s">
        <v>139</v>
      </c>
      <c r="C36" s="40">
        <v>43634</v>
      </c>
      <c r="D36" s="2" t="s">
        <v>84</v>
      </c>
      <c r="E36" s="7">
        <v>19160</v>
      </c>
      <c r="F36"/>
      <c r="G36"/>
      <c r="H36" s="10">
        <f>H35-0.1</f>
        <v>-1.4958</v>
      </c>
      <c r="I36" s="10"/>
      <c r="J36" s="27"/>
      <c r="K36" s="27"/>
      <c r="L36" s="7"/>
      <c r="M36" s="46">
        <f>M35-0.1</f>
        <v>-1.5059</v>
      </c>
    </row>
    <row r="37" spans="1:13" x14ac:dyDescent="0.2">
      <c r="A37" s="18" t="s">
        <v>138</v>
      </c>
      <c r="B37" t="s">
        <v>139</v>
      </c>
      <c r="C37" s="40">
        <v>43663</v>
      </c>
      <c r="D37" s="41" t="s">
        <v>23</v>
      </c>
      <c r="E37" s="42"/>
      <c r="F37" s="20"/>
      <c r="G37" s="20"/>
      <c r="H37" s="19">
        <v>-1.9289000000000001</v>
      </c>
      <c r="I37" s="19"/>
      <c r="J37" s="27"/>
      <c r="K37" s="27"/>
      <c r="L37" s="7"/>
      <c r="M37" s="45">
        <v>-1.8959999999999999</v>
      </c>
    </row>
    <row r="38" spans="1:13" x14ac:dyDescent="0.2">
      <c r="A38" s="18" t="s">
        <v>138</v>
      </c>
      <c r="B38" t="s">
        <v>139</v>
      </c>
      <c r="C38" s="40">
        <v>43663</v>
      </c>
      <c r="D38" s="41" t="s">
        <v>15</v>
      </c>
      <c r="E38" s="7">
        <v>29459</v>
      </c>
      <c r="F38" s="20"/>
      <c r="G38" s="20"/>
      <c r="H38" s="19">
        <f>H37+0.181</f>
        <v>-1.7479</v>
      </c>
      <c r="I38" s="27">
        <v>335.7</v>
      </c>
      <c r="J38" s="27">
        <v>333.2</v>
      </c>
      <c r="K38" s="27">
        <v>-2.5</v>
      </c>
      <c r="L38" s="7"/>
      <c r="M38" s="45">
        <f>M37+0.181</f>
        <v>-1.7149999999999999</v>
      </c>
    </row>
    <row r="39" spans="1:13" x14ac:dyDescent="0.2">
      <c r="A39" s="18" t="s">
        <v>138</v>
      </c>
      <c r="B39" t="s">
        <v>139</v>
      </c>
      <c r="C39" s="40">
        <v>43663</v>
      </c>
      <c r="D39" s="41" t="s">
        <v>21</v>
      </c>
      <c r="E39" s="42"/>
      <c r="F39">
        <v>156581</v>
      </c>
      <c r="G39">
        <v>517618</v>
      </c>
      <c r="H39" s="19">
        <v>3.0019999999999998</v>
      </c>
      <c r="I39" s="19"/>
      <c r="J39" s="27"/>
      <c r="K39" s="27"/>
      <c r="L39" s="7"/>
      <c r="M39" s="45">
        <v>2.9809000000000001</v>
      </c>
    </row>
    <row r="40" spans="1:13" x14ac:dyDescent="0.2">
      <c r="A40" s="18" t="s">
        <v>138</v>
      </c>
      <c r="B40" t="s">
        <v>139</v>
      </c>
      <c r="C40" s="40">
        <v>43663</v>
      </c>
      <c r="D40" s="41" t="s">
        <v>17</v>
      </c>
      <c r="E40" s="7">
        <v>9934</v>
      </c>
      <c r="F40" s="20"/>
      <c r="G40" s="20"/>
      <c r="H40" s="73">
        <f>1.4958-2.967</f>
        <v>-1.4712000000000001</v>
      </c>
      <c r="I40" s="19"/>
      <c r="J40" s="27"/>
      <c r="K40" s="27"/>
      <c r="L40" s="7"/>
      <c r="M40" s="45">
        <f>1.5433-2.967</f>
        <v>-1.4237000000000002</v>
      </c>
    </row>
    <row r="41" spans="1:13" x14ac:dyDescent="0.2">
      <c r="A41" s="18" t="s">
        <v>138</v>
      </c>
      <c r="B41" t="s">
        <v>139</v>
      </c>
      <c r="C41" s="40">
        <v>43663</v>
      </c>
      <c r="D41" s="2" t="s">
        <v>44</v>
      </c>
      <c r="E41" s="7">
        <v>14808</v>
      </c>
      <c r="F41"/>
      <c r="G41"/>
      <c r="H41" s="10">
        <f>-0.4508-0.945</f>
        <v>-1.3957999999999999</v>
      </c>
      <c r="I41" s="27">
        <v>172.1</v>
      </c>
      <c r="J41" s="27">
        <v>171.2</v>
      </c>
      <c r="K41" s="27">
        <v>-0.90000000000000568</v>
      </c>
      <c r="L41" s="67">
        <f>-(941-36)</f>
        <v>-905</v>
      </c>
      <c r="M41" s="46">
        <f>-0.4578-0.945</f>
        <v>-1.4028</v>
      </c>
    </row>
    <row r="42" spans="1:13" x14ac:dyDescent="0.2">
      <c r="A42" s="18" t="s">
        <v>138</v>
      </c>
      <c r="B42" t="s">
        <v>139</v>
      </c>
      <c r="C42" s="40">
        <v>43663</v>
      </c>
      <c r="D42" s="2" t="s">
        <v>84</v>
      </c>
      <c r="E42" s="7">
        <v>19160</v>
      </c>
      <c r="F42"/>
      <c r="G42"/>
      <c r="H42" s="10">
        <f>H41-0.1</f>
        <v>-1.4958</v>
      </c>
      <c r="I42" s="10"/>
      <c r="J42" s="27"/>
      <c r="K42" s="27"/>
      <c r="L42" s="7"/>
      <c r="M42" s="46">
        <f>M41-0.1</f>
        <v>-1.5028000000000001</v>
      </c>
    </row>
    <row r="43" spans="1:13" x14ac:dyDescent="0.2">
      <c r="A43" s="18" t="s">
        <v>138</v>
      </c>
      <c r="B43" t="s">
        <v>139</v>
      </c>
      <c r="C43" s="40">
        <v>43689</v>
      </c>
      <c r="D43" s="41" t="s">
        <v>23</v>
      </c>
      <c r="E43" s="42"/>
      <c r="F43" s="20"/>
      <c r="G43" s="20"/>
      <c r="H43" s="19">
        <v>-1.9289000000000001</v>
      </c>
      <c r="I43" s="19"/>
      <c r="J43" s="27"/>
      <c r="K43" s="27"/>
      <c r="L43" s="7"/>
      <c r="M43" s="45"/>
    </row>
    <row r="44" spans="1:13" x14ac:dyDescent="0.2">
      <c r="A44" s="18" t="s">
        <v>138</v>
      </c>
      <c r="B44" t="s">
        <v>139</v>
      </c>
      <c r="C44" s="40">
        <v>43689</v>
      </c>
      <c r="D44" s="41" t="s">
        <v>15</v>
      </c>
      <c r="E44" s="7">
        <v>29459</v>
      </c>
      <c r="F44" s="20"/>
      <c r="G44" s="20"/>
      <c r="H44" s="19">
        <f>H43+0.181</f>
        <v>-1.7479</v>
      </c>
      <c r="I44" s="27">
        <v>335.7</v>
      </c>
      <c r="J44" s="27">
        <v>333.2</v>
      </c>
      <c r="K44" s="27">
        <v>-2.5</v>
      </c>
      <c r="L44" s="7"/>
      <c r="M44" s="45"/>
    </row>
    <row r="45" spans="1:13" x14ac:dyDescent="0.2">
      <c r="A45" s="18" t="s">
        <v>138</v>
      </c>
      <c r="B45" t="s">
        <v>139</v>
      </c>
      <c r="C45" s="40">
        <v>43689</v>
      </c>
      <c r="D45" s="41" t="s">
        <v>21</v>
      </c>
      <c r="E45" s="42"/>
      <c r="F45">
        <v>156581</v>
      </c>
      <c r="G45">
        <v>517618</v>
      </c>
      <c r="H45" s="19">
        <v>3.0219999999999998</v>
      </c>
      <c r="I45" s="19"/>
      <c r="J45" s="27"/>
      <c r="K45" s="27"/>
      <c r="L45" s="7"/>
      <c r="M45" s="45"/>
    </row>
    <row r="46" spans="1:13" x14ac:dyDescent="0.2">
      <c r="A46" s="18" t="s">
        <v>138</v>
      </c>
      <c r="B46" t="s">
        <v>139</v>
      </c>
      <c r="C46" s="40">
        <v>43689</v>
      </c>
      <c r="D46" s="41" t="s">
        <v>17</v>
      </c>
      <c r="E46" s="7">
        <v>9934</v>
      </c>
      <c r="F46" s="20"/>
      <c r="G46" s="20"/>
      <c r="H46" s="73">
        <f>1.4958-2.967</f>
        <v>-1.4712000000000001</v>
      </c>
      <c r="I46" s="19"/>
      <c r="J46" s="27"/>
      <c r="K46" s="27"/>
      <c r="L46" s="7"/>
      <c r="M46" s="45"/>
    </row>
    <row r="47" spans="1:13" x14ac:dyDescent="0.2">
      <c r="A47" s="18" t="s">
        <v>138</v>
      </c>
      <c r="B47" t="s">
        <v>139</v>
      </c>
      <c r="C47" s="40">
        <v>43689</v>
      </c>
      <c r="D47" s="2" t="s">
        <v>44</v>
      </c>
      <c r="E47" s="7">
        <v>14808</v>
      </c>
      <c r="F47"/>
      <c r="G47"/>
      <c r="H47" s="10">
        <f>-0.44-0.945</f>
        <v>-1.385</v>
      </c>
      <c r="I47" s="27">
        <v>172.1</v>
      </c>
      <c r="J47" s="27">
        <v>171.2</v>
      </c>
      <c r="K47" s="27">
        <v>-0.90000000000000568</v>
      </c>
      <c r="L47" s="67">
        <f>-(941-36)</f>
        <v>-905</v>
      </c>
      <c r="M47" s="46"/>
    </row>
    <row r="48" spans="1:13" x14ac:dyDescent="0.2">
      <c r="A48" s="18" t="s">
        <v>138</v>
      </c>
      <c r="B48" t="s">
        <v>139</v>
      </c>
      <c r="C48" s="40">
        <v>43689</v>
      </c>
      <c r="D48" s="2" t="s">
        <v>84</v>
      </c>
      <c r="E48" s="7">
        <v>19160</v>
      </c>
      <c r="F48"/>
      <c r="G48"/>
      <c r="H48" s="10">
        <f>H47-0.1</f>
        <v>-1.4850000000000001</v>
      </c>
      <c r="I48" s="10"/>
      <c r="J48" s="27"/>
      <c r="K48" s="27"/>
      <c r="L48" s="7"/>
      <c r="M48" s="46"/>
    </row>
    <row r="49" spans="1:13" x14ac:dyDescent="0.2">
      <c r="A49" s="18" t="s">
        <v>138</v>
      </c>
      <c r="B49" t="s">
        <v>139</v>
      </c>
      <c r="C49" s="40">
        <v>43718</v>
      </c>
      <c r="D49" s="41" t="s">
        <v>23</v>
      </c>
      <c r="E49" s="42"/>
      <c r="F49" s="20"/>
      <c r="G49" s="20"/>
      <c r="H49" s="19">
        <v>-1.9289000000000001</v>
      </c>
      <c r="I49" s="10"/>
      <c r="J49" s="27"/>
      <c r="K49" s="27"/>
      <c r="L49" s="7"/>
      <c r="M49" s="81" t="s">
        <v>148</v>
      </c>
    </row>
    <row r="50" spans="1:13" x14ac:dyDescent="0.2">
      <c r="A50" s="18" t="s">
        <v>138</v>
      </c>
      <c r="B50" t="s">
        <v>139</v>
      </c>
      <c r="C50" s="40">
        <v>43718</v>
      </c>
      <c r="D50" s="41" t="s">
        <v>15</v>
      </c>
      <c r="E50" s="7">
        <v>29459</v>
      </c>
      <c r="F50" s="20"/>
      <c r="G50" s="20"/>
      <c r="H50" s="19">
        <f>H49+0.181</f>
        <v>-1.7479</v>
      </c>
      <c r="I50" s="27">
        <v>335.7</v>
      </c>
      <c r="J50" s="27">
        <v>333.2</v>
      </c>
      <c r="K50" s="27">
        <v>-2.5</v>
      </c>
      <c r="L50" s="7"/>
      <c r="M50" s="81" t="s">
        <v>148</v>
      </c>
    </row>
    <row r="51" spans="1:13" x14ac:dyDescent="0.2">
      <c r="A51" s="18" t="s">
        <v>138</v>
      </c>
      <c r="B51" t="s">
        <v>139</v>
      </c>
      <c r="C51" s="40">
        <v>43718</v>
      </c>
      <c r="D51" s="41" t="s">
        <v>21</v>
      </c>
      <c r="E51" s="42"/>
      <c r="F51">
        <v>156581</v>
      </c>
      <c r="G51">
        <v>517618</v>
      </c>
      <c r="H51" s="19">
        <v>3.0219999999999998</v>
      </c>
      <c r="I51" s="10"/>
      <c r="J51" s="27"/>
      <c r="K51" s="27"/>
      <c r="L51" s="7"/>
      <c r="M51" s="81" t="s">
        <v>148</v>
      </c>
    </row>
    <row r="52" spans="1:13" x14ac:dyDescent="0.2">
      <c r="A52" s="18" t="s">
        <v>138</v>
      </c>
      <c r="B52" t="s">
        <v>139</v>
      </c>
      <c r="C52" s="40">
        <v>43718</v>
      </c>
      <c r="D52" s="41" t="s">
        <v>17</v>
      </c>
      <c r="E52" s="7">
        <v>9934</v>
      </c>
      <c r="F52" s="20"/>
      <c r="G52" s="20"/>
      <c r="H52" s="73">
        <f>1.4958-2.967</f>
        <v>-1.4712000000000001</v>
      </c>
      <c r="I52" s="10"/>
      <c r="J52" s="27"/>
      <c r="K52" s="27"/>
      <c r="L52" s="7"/>
      <c r="M52" s="81" t="s">
        <v>148</v>
      </c>
    </row>
    <row r="53" spans="1:13" x14ac:dyDescent="0.2">
      <c r="A53" s="18" t="s">
        <v>138</v>
      </c>
      <c r="B53" t="s">
        <v>139</v>
      </c>
      <c r="C53" s="40">
        <v>43718</v>
      </c>
      <c r="D53" s="2" t="s">
        <v>44</v>
      </c>
      <c r="E53" s="7">
        <v>14808</v>
      </c>
      <c r="F53"/>
      <c r="G53"/>
      <c r="H53" s="10">
        <f>-0.44-0.945</f>
        <v>-1.385</v>
      </c>
      <c r="I53" s="27">
        <v>172.1</v>
      </c>
      <c r="J53" s="27">
        <v>171.2</v>
      </c>
      <c r="K53" s="27">
        <v>-0.90000000000000568</v>
      </c>
      <c r="L53" s="67">
        <f>-(941-36)</f>
        <v>-905</v>
      </c>
      <c r="M53" s="81" t="s">
        <v>148</v>
      </c>
    </row>
    <row r="54" spans="1:13" x14ac:dyDescent="0.2">
      <c r="A54" s="18" t="s">
        <v>138</v>
      </c>
      <c r="B54" t="s">
        <v>139</v>
      </c>
      <c r="C54" s="40">
        <v>43718</v>
      </c>
      <c r="D54" s="2" t="s">
        <v>84</v>
      </c>
      <c r="E54" s="7">
        <v>19160</v>
      </c>
      <c r="F54"/>
      <c r="G54"/>
      <c r="H54" s="10">
        <f>H53-0.1</f>
        <v>-1.4850000000000001</v>
      </c>
      <c r="I54" s="10"/>
      <c r="J54" s="27"/>
      <c r="K54" s="27"/>
      <c r="L54" s="7"/>
      <c r="M54" s="51" t="s">
        <v>149</v>
      </c>
    </row>
    <row r="55" spans="1:13" x14ac:dyDescent="0.2">
      <c r="A55" s="18" t="s">
        <v>138</v>
      </c>
      <c r="B55" t="s">
        <v>139</v>
      </c>
      <c r="C55" s="40">
        <v>43747</v>
      </c>
      <c r="D55" s="41" t="s">
        <v>23</v>
      </c>
      <c r="E55" s="42"/>
      <c r="F55" s="20"/>
      <c r="G55" s="20"/>
      <c r="H55" s="19">
        <v>-1.9289000000000001</v>
      </c>
      <c r="I55" s="10"/>
      <c r="J55" s="27"/>
      <c r="K55" s="27"/>
      <c r="L55" s="7"/>
      <c r="M55" s="44">
        <v>-1.9427000000000001</v>
      </c>
    </row>
    <row r="56" spans="1:13" x14ac:dyDescent="0.2">
      <c r="A56" s="18" t="s">
        <v>138</v>
      </c>
      <c r="B56" t="s">
        <v>139</v>
      </c>
      <c r="C56" s="40">
        <v>43747</v>
      </c>
      <c r="D56" s="41" t="s">
        <v>15</v>
      </c>
      <c r="E56" s="7">
        <v>29459</v>
      </c>
      <c r="F56" s="20"/>
      <c r="G56" s="20"/>
      <c r="H56" s="19">
        <f>H55+0.181</f>
        <v>-1.7479</v>
      </c>
      <c r="I56" s="27">
        <v>335.7</v>
      </c>
      <c r="J56" s="27">
        <v>333.2</v>
      </c>
      <c r="K56" s="27">
        <v>-2.5</v>
      </c>
      <c r="L56" s="7"/>
      <c r="M56" s="44">
        <f>M55+0.181</f>
        <v>-1.7617</v>
      </c>
    </row>
    <row r="57" spans="1:13" x14ac:dyDescent="0.2">
      <c r="A57" s="18" t="s">
        <v>138</v>
      </c>
      <c r="B57" t="s">
        <v>139</v>
      </c>
      <c r="C57" s="40">
        <v>43747</v>
      </c>
      <c r="D57" s="41" t="s">
        <v>21</v>
      </c>
      <c r="E57" s="42"/>
      <c r="F57" s="20">
        <v>156582</v>
      </c>
      <c r="G57" s="20">
        <v>517619</v>
      </c>
      <c r="H57" s="56">
        <v>2.9514</v>
      </c>
      <c r="I57" s="10"/>
      <c r="J57" s="27"/>
      <c r="K57" s="27"/>
      <c r="L57" s="7"/>
      <c r="M57" s="44">
        <v>2.9514</v>
      </c>
    </row>
    <row r="58" spans="1:13" x14ac:dyDescent="0.2">
      <c r="A58" s="18" t="s">
        <v>138</v>
      </c>
      <c r="B58" t="s">
        <v>139</v>
      </c>
      <c r="C58" s="40">
        <v>43747</v>
      </c>
      <c r="D58" s="41" t="s">
        <v>17</v>
      </c>
      <c r="E58" s="7">
        <v>9934</v>
      </c>
      <c r="F58" s="20"/>
      <c r="G58" s="20"/>
      <c r="H58" s="73">
        <f>1.4958-2.967</f>
        <v>-1.4712000000000001</v>
      </c>
      <c r="I58" s="10"/>
      <c r="J58" s="27"/>
      <c r="K58" s="27"/>
      <c r="L58" s="7"/>
      <c r="M58" s="44" t="s">
        <v>150</v>
      </c>
    </row>
    <row r="59" spans="1:13" x14ac:dyDescent="0.2">
      <c r="A59" s="18" t="s">
        <v>138</v>
      </c>
      <c r="B59" t="s">
        <v>139</v>
      </c>
      <c r="C59" s="40">
        <v>43747</v>
      </c>
      <c r="D59" s="2" t="s">
        <v>44</v>
      </c>
      <c r="E59" s="7">
        <v>14808</v>
      </c>
      <c r="F59"/>
      <c r="G59"/>
      <c r="H59" s="55">
        <f>-0.4499-0.945</f>
        <v>-1.3949</v>
      </c>
      <c r="I59" s="27">
        <v>172.1</v>
      </c>
      <c r="J59" s="27">
        <v>171.2</v>
      </c>
      <c r="K59" s="27">
        <v>-0.90000000000000568</v>
      </c>
      <c r="L59" s="67">
        <f>-(941-36)</f>
        <v>-905</v>
      </c>
      <c r="M59" s="88" t="s">
        <v>151</v>
      </c>
    </row>
    <row r="60" spans="1:13" x14ac:dyDescent="0.2">
      <c r="A60" s="18" t="s">
        <v>138</v>
      </c>
      <c r="B60" t="s">
        <v>139</v>
      </c>
      <c r="C60" s="40">
        <v>43747</v>
      </c>
      <c r="D60" s="2" t="s">
        <v>84</v>
      </c>
      <c r="E60" s="7">
        <v>19160</v>
      </c>
      <c r="F60"/>
      <c r="G60"/>
      <c r="H60" s="55">
        <f>H59-0.1</f>
        <v>-1.4949000000000001</v>
      </c>
      <c r="I60" s="10"/>
      <c r="J60" s="27"/>
      <c r="K60" s="27"/>
      <c r="L60" s="7"/>
      <c r="M60" s="89" t="s">
        <v>152</v>
      </c>
    </row>
    <row r="61" spans="1:13" x14ac:dyDescent="0.2">
      <c r="A61" s="18" t="s">
        <v>138</v>
      </c>
      <c r="B61" t="s">
        <v>139</v>
      </c>
      <c r="C61" s="40">
        <v>43780</v>
      </c>
      <c r="D61" s="41" t="s">
        <v>23</v>
      </c>
      <c r="E61" s="42"/>
      <c r="F61" s="20"/>
      <c r="G61" s="20"/>
      <c r="H61" s="19">
        <v>-1.9289000000000001</v>
      </c>
      <c r="I61" s="10"/>
      <c r="J61" s="27"/>
      <c r="K61" s="27"/>
      <c r="L61" s="7"/>
      <c r="M61" s="44">
        <v>-1.9114</v>
      </c>
    </row>
    <row r="62" spans="1:13" x14ac:dyDescent="0.2">
      <c r="A62" s="18" t="s">
        <v>138</v>
      </c>
      <c r="B62" t="s">
        <v>139</v>
      </c>
      <c r="C62" s="40">
        <v>43780</v>
      </c>
      <c r="D62" s="41" t="s">
        <v>15</v>
      </c>
      <c r="E62" s="7">
        <v>29459</v>
      </c>
      <c r="F62" s="20"/>
      <c r="G62" s="20"/>
      <c r="H62" s="19">
        <f>H61+0.181</f>
        <v>-1.7479</v>
      </c>
      <c r="I62" s="27">
        <v>335.7</v>
      </c>
      <c r="J62" s="27">
        <v>333.2</v>
      </c>
      <c r="K62" s="27">
        <v>-2.5</v>
      </c>
      <c r="L62" s="7"/>
      <c r="M62" s="44">
        <f>M61+0.181</f>
        <v>-1.7303999999999999</v>
      </c>
    </row>
    <row r="63" spans="1:13" x14ac:dyDescent="0.2">
      <c r="A63" s="18" t="s">
        <v>138</v>
      </c>
      <c r="B63" t="s">
        <v>139</v>
      </c>
      <c r="C63" s="40">
        <v>43780</v>
      </c>
      <c r="D63" s="41" t="s">
        <v>21</v>
      </c>
      <c r="E63" s="42"/>
      <c r="F63" s="20">
        <v>156582</v>
      </c>
      <c r="G63" s="20">
        <v>517619</v>
      </c>
      <c r="H63" s="56">
        <v>3.01</v>
      </c>
      <c r="I63" s="10"/>
      <c r="J63" s="27"/>
      <c r="K63" s="27"/>
      <c r="L63" s="7"/>
      <c r="M63" s="44">
        <v>3.01</v>
      </c>
    </row>
    <row r="64" spans="1:13" x14ac:dyDescent="0.2">
      <c r="A64" s="18" t="s">
        <v>138</v>
      </c>
      <c r="B64" t="s">
        <v>139</v>
      </c>
      <c r="C64" s="40">
        <v>43780</v>
      </c>
      <c r="D64" s="41" t="s">
        <v>17</v>
      </c>
      <c r="E64" s="7">
        <v>9934</v>
      </c>
      <c r="F64" s="20"/>
      <c r="G64" s="20"/>
      <c r="H64" s="73">
        <f>1.4958-2.967</f>
        <v>-1.4712000000000001</v>
      </c>
      <c r="I64" s="10"/>
      <c r="J64" s="27"/>
      <c r="K64" s="27"/>
      <c r="L64" s="7"/>
      <c r="M64" s="44" t="s">
        <v>153</v>
      </c>
    </row>
    <row r="65" spans="1:13" x14ac:dyDescent="0.2">
      <c r="A65" s="18" t="s">
        <v>138</v>
      </c>
      <c r="B65" t="s">
        <v>139</v>
      </c>
      <c r="C65" s="40">
        <v>43780</v>
      </c>
      <c r="D65" s="2" t="s">
        <v>44</v>
      </c>
      <c r="E65" s="7">
        <v>14808</v>
      </c>
      <c r="F65"/>
      <c r="G65"/>
      <c r="H65" s="55">
        <f>-0.4499-0.945</f>
        <v>-1.3949</v>
      </c>
      <c r="I65" s="27">
        <v>172.1</v>
      </c>
      <c r="J65" s="27">
        <v>171.2</v>
      </c>
      <c r="K65" s="27">
        <v>-0.90000000000000568</v>
      </c>
      <c r="L65" s="97">
        <f>-(941-36+7)</f>
        <v>-912</v>
      </c>
      <c r="M65" s="54">
        <f>-0.4499-0.945</f>
        <v>-1.3949</v>
      </c>
    </row>
    <row r="66" spans="1:13" x14ac:dyDescent="0.2">
      <c r="A66" s="18" t="s">
        <v>138</v>
      </c>
      <c r="B66" t="s">
        <v>139</v>
      </c>
      <c r="C66" s="40">
        <v>43780</v>
      </c>
      <c r="D66" s="2" t="s">
        <v>84</v>
      </c>
      <c r="E66" s="7">
        <v>19160</v>
      </c>
      <c r="F66"/>
      <c r="G66"/>
      <c r="H66" s="55">
        <f>H65-0.1</f>
        <v>-1.4949000000000001</v>
      </c>
      <c r="I66" s="10"/>
      <c r="J66" s="27"/>
      <c r="K66" s="27"/>
      <c r="L66" s="7"/>
      <c r="M66" s="54">
        <f>M65-0.1</f>
        <v>-1.4949000000000001</v>
      </c>
    </row>
    <row r="67" spans="1:13" x14ac:dyDescent="0.2">
      <c r="A67" s="18" t="s">
        <v>138</v>
      </c>
      <c r="B67" t="s">
        <v>139</v>
      </c>
      <c r="C67" s="40">
        <v>43802</v>
      </c>
      <c r="D67" s="41" t="s">
        <v>23</v>
      </c>
      <c r="E67" s="42"/>
      <c r="F67" s="20"/>
      <c r="G67" s="20"/>
      <c r="H67" s="19">
        <v>-1.9289000000000001</v>
      </c>
      <c r="I67" s="10"/>
      <c r="J67" s="27"/>
      <c r="K67" s="27"/>
      <c r="L67" s="7"/>
      <c r="M67" s="44">
        <v>-1.9103000000000001</v>
      </c>
    </row>
    <row r="68" spans="1:13" x14ac:dyDescent="0.2">
      <c r="A68" s="18" t="s">
        <v>138</v>
      </c>
      <c r="B68" t="s">
        <v>139</v>
      </c>
      <c r="C68" s="40">
        <v>43802</v>
      </c>
      <c r="D68" s="41" t="s">
        <v>15</v>
      </c>
      <c r="E68" s="7">
        <v>29459</v>
      </c>
      <c r="F68" s="20"/>
      <c r="G68" s="20"/>
      <c r="H68" s="19">
        <f>H67+0.181</f>
        <v>-1.7479</v>
      </c>
      <c r="I68" s="27">
        <v>335.7</v>
      </c>
      <c r="J68" s="27">
        <v>333.2</v>
      </c>
      <c r="K68" s="27">
        <v>-2.5</v>
      </c>
      <c r="L68" s="7"/>
      <c r="M68" s="44">
        <f>M67+0.181</f>
        <v>-1.7293000000000001</v>
      </c>
    </row>
    <row r="69" spans="1:13" x14ac:dyDescent="0.2">
      <c r="A69" s="18" t="s">
        <v>138</v>
      </c>
      <c r="B69" t="s">
        <v>139</v>
      </c>
      <c r="C69" s="40">
        <v>43802</v>
      </c>
      <c r="D69" s="41" t="s">
        <v>21</v>
      </c>
      <c r="E69" s="42"/>
      <c r="F69" s="20">
        <v>156582</v>
      </c>
      <c r="G69" s="20">
        <v>517619</v>
      </c>
      <c r="H69" s="56">
        <v>3.01</v>
      </c>
      <c r="I69" s="10"/>
      <c r="J69" s="27"/>
      <c r="K69" s="27"/>
      <c r="L69" s="7"/>
      <c r="M69" s="44">
        <v>3.0346000000000002</v>
      </c>
    </row>
    <row r="70" spans="1:13" x14ac:dyDescent="0.2">
      <c r="A70" s="18" t="s">
        <v>138</v>
      </c>
      <c r="B70" t="s">
        <v>139</v>
      </c>
      <c r="C70" s="40">
        <v>43802</v>
      </c>
      <c r="D70" s="41" t="s">
        <v>17</v>
      </c>
      <c r="E70" s="7">
        <v>9934</v>
      </c>
      <c r="F70" s="20"/>
      <c r="G70" s="20"/>
      <c r="H70" s="73">
        <f>1.4958-2.967</f>
        <v>-1.4712000000000001</v>
      </c>
      <c r="I70" s="10"/>
      <c r="J70" s="27"/>
      <c r="K70" s="27"/>
      <c r="L70" s="7"/>
      <c r="M70" s="102" t="s">
        <v>154</v>
      </c>
    </row>
    <row r="71" spans="1:13" x14ac:dyDescent="0.2">
      <c r="A71" s="18" t="s">
        <v>138</v>
      </c>
      <c r="B71" t="s">
        <v>139</v>
      </c>
      <c r="C71" s="40">
        <v>43802</v>
      </c>
      <c r="D71" s="2" t="s">
        <v>44</v>
      </c>
      <c r="E71" s="7">
        <v>14808</v>
      </c>
      <c r="F71"/>
      <c r="G71"/>
      <c r="H71" s="55">
        <f>-0.4499-0.945</f>
        <v>-1.3949</v>
      </c>
      <c r="I71" s="27">
        <v>172.1</v>
      </c>
      <c r="J71" s="27">
        <v>171.2</v>
      </c>
      <c r="K71" s="27">
        <v>-0.90000000000000568</v>
      </c>
      <c r="L71" s="99">
        <f>-(941-36+7)</f>
        <v>-912</v>
      </c>
      <c r="M71" s="54">
        <f>-0.4471-0.945</f>
        <v>-1.3920999999999999</v>
      </c>
    </row>
    <row r="72" spans="1:13" x14ac:dyDescent="0.2">
      <c r="A72" s="18" t="s">
        <v>138</v>
      </c>
      <c r="B72" t="s">
        <v>139</v>
      </c>
      <c r="C72" s="40">
        <v>43802</v>
      </c>
      <c r="D72" s="2" t="s">
        <v>84</v>
      </c>
      <c r="E72" s="7">
        <v>19160</v>
      </c>
      <c r="F72"/>
      <c r="G72"/>
      <c r="H72" s="55">
        <f>H71-0.1</f>
        <v>-1.4949000000000001</v>
      </c>
      <c r="I72" s="10"/>
      <c r="J72" s="27"/>
      <c r="K72" s="27"/>
      <c r="L72" s="7"/>
      <c r="M72" s="54">
        <f>M71-0.1</f>
        <v>-1.4921</v>
      </c>
    </row>
    <row r="73" spans="1:13" x14ac:dyDescent="0.2">
      <c r="A73" s="18" t="s">
        <v>138</v>
      </c>
      <c r="B73" t="s">
        <v>139</v>
      </c>
      <c r="C73" s="40">
        <v>43838</v>
      </c>
      <c r="D73" s="41" t="s">
        <v>23</v>
      </c>
      <c r="E73" s="42"/>
      <c r="F73" s="20"/>
      <c r="G73" s="20"/>
      <c r="H73" s="19">
        <v>-1.9459</v>
      </c>
      <c r="I73" s="10"/>
      <c r="J73" s="27"/>
      <c r="K73" s="27"/>
      <c r="L73" s="7"/>
      <c r="M73" s="44">
        <v>-1.9459</v>
      </c>
    </row>
    <row r="74" spans="1:13" x14ac:dyDescent="0.2">
      <c r="A74" s="18" t="s">
        <v>138</v>
      </c>
      <c r="B74" t="s">
        <v>139</v>
      </c>
      <c r="C74" s="40">
        <v>43838</v>
      </c>
      <c r="D74" s="41" t="s">
        <v>15</v>
      </c>
      <c r="E74" s="7">
        <v>29459</v>
      </c>
      <c r="F74" s="20"/>
      <c r="G74" s="20"/>
      <c r="H74" s="19">
        <f>H73+0.181</f>
        <v>-1.7648999999999999</v>
      </c>
      <c r="I74" s="27">
        <v>335.7</v>
      </c>
      <c r="J74" s="27">
        <v>333.2</v>
      </c>
      <c r="K74" s="27">
        <v>-2.5</v>
      </c>
      <c r="L74" s="7"/>
      <c r="M74" s="44">
        <f>M73+0.181</f>
        <v>-1.7648999999999999</v>
      </c>
    </row>
    <row r="75" spans="1:13" x14ac:dyDescent="0.2">
      <c r="A75" s="18" t="s">
        <v>138</v>
      </c>
      <c r="B75" t="s">
        <v>139</v>
      </c>
      <c r="C75" s="40">
        <v>43838</v>
      </c>
      <c r="D75" s="41" t="s">
        <v>21</v>
      </c>
      <c r="E75" s="42"/>
      <c r="F75" s="20">
        <v>156582</v>
      </c>
      <c r="G75" s="20">
        <v>517619</v>
      </c>
      <c r="H75" s="56">
        <v>3.0072000000000001</v>
      </c>
      <c r="I75" s="10"/>
      <c r="J75" s="27"/>
      <c r="K75" s="27"/>
      <c r="L75" s="7"/>
      <c r="M75" s="44">
        <v>3.0072000000000001</v>
      </c>
    </row>
    <row r="76" spans="1:13" x14ac:dyDescent="0.2">
      <c r="A76" s="18" t="s">
        <v>138</v>
      </c>
      <c r="B76" t="s">
        <v>139</v>
      </c>
      <c r="C76" s="40">
        <v>43838</v>
      </c>
      <c r="D76" s="41" t="s">
        <v>17</v>
      </c>
      <c r="E76" s="7">
        <v>9934</v>
      </c>
      <c r="F76" s="20"/>
      <c r="G76" s="20"/>
      <c r="H76" s="56">
        <f>1.4958-2.967</f>
        <v>-1.4712000000000001</v>
      </c>
      <c r="I76" s="10"/>
      <c r="J76" s="27"/>
      <c r="K76" s="27"/>
      <c r="L76" s="7"/>
      <c r="M76" s="103" t="s">
        <v>155</v>
      </c>
    </row>
    <row r="77" spans="1:13" x14ac:dyDescent="0.2">
      <c r="A77" s="18" t="s">
        <v>138</v>
      </c>
      <c r="B77" t="s">
        <v>139</v>
      </c>
      <c r="C77" s="40">
        <v>43838</v>
      </c>
      <c r="D77" s="2" t="s">
        <v>44</v>
      </c>
      <c r="E77" s="7">
        <v>14808</v>
      </c>
      <c r="F77"/>
      <c r="G77"/>
      <c r="H77" s="55">
        <f>-0.4906-0.945</f>
        <v>-1.4356</v>
      </c>
      <c r="I77" s="27">
        <v>172.1</v>
      </c>
      <c r="J77" s="27">
        <v>171.2</v>
      </c>
      <c r="K77" s="27">
        <v>-0.90000000000000568</v>
      </c>
      <c r="L77" s="99">
        <f>-(941-36+7)</f>
        <v>-912</v>
      </c>
      <c r="M77" s="54">
        <f>-0.4906-0.945</f>
        <v>-1.4356</v>
      </c>
    </row>
    <row r="78" spans="1:13" x14ac:dyDescent="0.2">
      <c r="A78" s="18" t="s">
        <v>138</v>
      </c>
      <c r="B78" t="s">
        <v>139</v>
      </c>
      <c r="C78" s="40">
        <v>43838</v>
      </c>
      <c r="D78" s="2" t="s">
        <v>84</v>
      </c>
      <c r="E78" s="7">
        <v>39343</v>
      </c>
      <c r="F78"/>
      <c r="G78"/>
      <c r="H78" s="55">
        <f>H77-0.1</f>
        <v>-1.5356000000000001</v>
      </c>
      <c r="I78" s="10"/>
      <c r="J78" s="27"/>
      <c r="K78" s="27"/>
      <c r="L78" s="7"/>
      <c r="M78" s="54">
        <f>M77-0.1</f>
        <v>-1.5356000000000001</v>
      </c>
    </row>
    <row r="79" spans="1:13" x14ac:dyDescent="0.2">
      <c r="A79" s="18" t="s">
        <v>138</v>
      </c>
      <c r="B79" t="s">
        <v>139</v>
      </c>
      <c r="C79" s="40">
        <v>43888</v>
      </c>
      <c r="D79" s="41" t="s">
        <v>23</v>
      </c>
      <c r="E79" s="42"/>
      <c r="F79" s="20"/>
      <c r="G79" s="20"/>
      <c r="H79" s="56">
        <v>-1.8671</v>
      </c>
      <c r="I79" s="10"/>
      <c r="J79" s="27"/>
      <c r="K79" s="27"/>
      <c r="L79" s="7"/>
      <c r="M79" s="44">
        <v>-1.8671</v>
      </c>
    </row>
    <row r="80" spans="1:13" x14ac:dyDescent="0.2">
      <c r="A80" s="18" t="s">
        <v>138</v>
      </c>
      <c r="B80" t="s">
        <v>139</v>
      </c>
      <c r="C80" s="40">
        <v>43888</v>
      </c>
      <c r="D80" s="41" t="s">
        <v>15</v>
      </c>
      <c r="E80" s="7">
        <v>29459</v>
      </c>
      <c r="F80" s="20"/>
      <c r="G80" s="20"/>
      <c r="H80" s="56">
        <v>-1.7648999999999999</v>
      </c>
      <c r="I80" s="27">
        <v>335.7</v>
      </c>
      <c r="J80" s="27">
        <v>333.2</v>
      </c>
      <c r="K80" s="27">
        <v>-2.5</v>
      </c>
      <c r="L80" s="7"/>
      <c r="M80" s="110" t="s">
        <v>156</v>
      </c>
    </row>
    <row r="81" spans="1:13" x14ac:dyDescent="0.2">
      <c r="A81" s="18" t="s">
        <v>138</v>
      </c>
      <c r="B81" t="s">
        <v>139</v>
      </c>
      <c r="C81" s="40">
        <v>43888</v>
      </c>
      <c r="D81" s="41" t="s">
        <v>21</v>
      </c>
      <c r="E81" s="42"/>
      <c r="F81" s="20">
        <v>156582</v>
      </c>
      <c r="G81" s="20">
        <v>517619</v>
      </c>
      <c r="H81" s="56">
        <v>3.0072000000000001</v>
      </c>
      <c r="I81" s="10"/>
      <c r="J81" s="27"/>
      <c r="K81" s="27"/>
      <c r="L81" s="7"/>
      <c r="M81" s="44">
        <v>3.0055000000000001</v>
      </c>
    </row>
    <row r="82" spans="1:13" x14ac:dyDescent="0.2">
      <c r="A82" s="18" t="s">
        <v>138</v>
      </c>
      <c r="B82" t="s">
        <v>139</v>
      </c>
      <c r="C82" s="40">
        <v>43888</v>
      </c>
      <c r="D82" s="41" t="s">
        <v>17</v>
      </c>
      <c r="E82" s="7">
        <v>9934</v>
      </c>
      <c r="F82" s="20"/>
      <c r="G82" s="20"/>
      <c r="H82" s="56">
        <v>-1.4814000000000001</v>
      </c>
      <c r="I82" s="10"/>
      <c r="J82" s="27"/>
      <c r="K82" s="27"/>
      <c r="L82" s="7"/>
      <c r="M82" s="103">
        <f>1.4856-2.967</f>
        <v>-1.4814000000000001</v>
      </c>
    </row>
    <row r="83" spans="1:13" ht="12.75" customHeight="1" x14ac:dyDescent="0.2">
      <c r="A83" s="18" t="s">
        <v>138</v>
      </c>
      <c r="B83" t="s">
        <v>139</v>
      </c>
      <c r="C83" s="40">
        <v>43888</v>
      </c>
      <c r="D83" s="2" t="s">
        <v>44</v>
      </c>
      <c r="E83" s="7">
        <v>14808</v>
      </c>
      <c r="F83"/>
      <c r="G83"/>
      <c r="H83" s="56">
        <f>-0.4906-0.945</f>
        <v>-1.4356</v>
      </c>
      <c r="I83" s="27">
        <v>172.1</v>
      </c>
      <c r="J83" s="27">
        <v>171.2</v>
      </c>
      <c r="K83" s="27">
        <v>-0.90000000000000568</v>
      </c>
      <c r="L83" s="99">
        <f>-(941-36+7)</f>
        <v>-912</v>
      </c>
      <c r="M83" s="54">
        <f>-0.4696-0.945</f>
        <v>-1.4146000000000001</v>
      </c>
    </row>
    <row r="84" spans="1:13" ht="12.75" customHeight="1" x14ac:dyDescent="0.2">
      <c r="A84" s="18" t="s">
        <v>138</v>
      </c>
      <c r="B84" t="s">
        <v>139</v>
      </c>
      <c r="C84" s="40">
        <v>43888</v>
      </c>
      <c r="D84" s="2" t="s">
        <v>84</v>
      </c>
      <c r="E84" s="7">
        <v>39343</v>
      </c>
      <c r="F84"/>
      <c r="G84"/>
      <c r="H84" s="56">
        <f>H83-0.1</f>
        <v>-1.5356000000000001</v>
      </c>
      <c r="I84" s="10"/>
      <c r="J84" s="27"/>
      <c r="K84" s="27"/>
      <c r="L84" s="7"/>
      <c r="M84" s="54" t="s">
        <v>80</v>
      </c>
    </row>
    <row r="85" spans="1:13" x14ac:dyDescent="0.2">
      <c r="A85" s="18" t="s">
        <v>138</v>
      </c>
      <c r="B85" t="s">
        <v>139</v>
      </c>
      <c r="C85" s="40">
        <v>43914</v>
      </c>
      <c r="D85" s="41" t="s">
        <v>23</v>
      </c>
      <c r="E85" s="42"/>
      <c r="F85" s="20"/>
      <c r="G85" s="20"/>
      <c r="H85" s="56">
        <v>-1.8895</v>
      </c>
      <c r="I85" s="10"/>
      <c r="J85" s="27"/>
      <c r="K85" s="27"/>
      <c r="L85" s="7"/>
      <c r="M85" s="44">
        <v>-1.8895</v>
      </c>
    </row>
    <row r="86" spans="1:13" x14ac:dyDescent="0.2">
      <c r="A86" s="18" t="s">
        <v>138</v>
      </c>
      <c r="B86" t="s">
        <v>139</v>
      </c>
      <c r="C86" s="40">
        <v>43914</v>
      </c>
      <c r="D86" s="41" t="s">
        <v>15</v>
      </c>
      <c r="E86" s="7">
        <v>29459</v>
      </c>
      <c r="F86" s="20"/>
      <c r="G86" s="20"/>
      <c r="H86" s="56">
        <v>-1.7648999999999999</v>
      </c>
      <c r="I86" s="27">
        <v>335.7</v>
      </c>
      <c r="J86" s="27">
        <v>333.2</v>
      </c>
      <c r="K86" s="27">
        <v>-2.5</v>
      </c>
      <c r="L86" s="7"/>
      <c r="M86" s="44"/>
    </row>
    <row r="87" spans="1:13" x14ac:dyDescent="0.2">
      <c r="A87" s="18" t="s">
        <v>138</v>
      </c>
      <c r="B87" t="s">
        <v>139</v>
      </c>
      <c r="C87" s="40">
        <v>43914</v>
      </c>
      <c r="D87" s="41" t="s">
        <v>21</v>
      </c>
      <c r="E87" s="42"/>
      <c r="F87" s="20">
        <v>156582</v>
      </c>
      <c r="G87" s="20">
        <v>517619</v>
      </c>
      <c r="H87" s="56">
        <v>2.9799000000000002</v>
      </c>
      <c r="I87" s="10"/>
      <c r="J87" s="27"/>
      <c r="K87" s="27"/>
      <c r="L87" s="7"/>
      <c r="M87" s="44">
        <v>2.9799000000000002</v>
      </c>
    </row>
    <row r="88" spans="1:13" x14ac:dyDescent="0.2">
      <c r="A88" s="18" t="s">
        <v>138</v>
      </c>
      <c r="B88" t="s">
        <v>139</v>
      </c>
      <c r="C88" s="40">
        <v>43914</v>
      </c>
      <c r="D88" s="41" t="s">
        <v>17</v>
      </c>
      <c r="E88" s="7">
        <v>9934</v>
      </c>
      <c r="F88" s="20"/>
      <c r="G88" s="20"/>
      <c r="H88" s="56">
        <v>-1.4814000000000001</v>
      </c>
      <c r="I88" s="10"/>
      <c r="J88" s="27"/>
      <c r="K88" s="27"/>
      <c r="L88" s="7"/>
      <c r="M88" s="103">
        <f>1.4823-2.967</f>
        <v>-1.4847000000000001</v>
      </c>
    </row>
    <row r="89" spans="1:13" x14ac:dyDescent="0.2">
      <c r="A89" s="18" t="s">
        <v>138</v>
      </c>
      <c r="B89" t="s">
        <v>139</v>
      </c>
      <c r="C89" s="40">
        <v>43914</v>
      </c>
      <c r="D89" s="2" t="s">
        <v>44</v>
      </c>
      <c r="E89" s="7">
        <v>14808</v>
      </c>
      <c r="F89"/>
      <c r="G89"/>
      <c r="H89" s="56">
        <v>-1.4137</v>
      </c>
      <c r="I89" s="27">
        <v>172.1</v>
      </c>
      <c r="J89" s="27">
        <v>171.2</v>
      </c>
      <c r="K89" s="27">
        <v>-0.90000000000000568</v>
      </c>
      <c r="L89" s="97">
        <f>-(941-36+7-134-12)</f>
        <v>-766</v>
      </c>
      <c r="M89" s="111" t="s">
        <v>157</v>
      </c>
    </row>
    <row r="90" spans="1:13" x14ac:dyDescent="0.2">
      <c r="A90" s="18" t="s">
        <v>138</v>
      </c>
      <c r="B90" t="s">
        <v>139</v>
      </c>
      <c r="C90" s="40">
        <v>43914</v>
      </c>
      <c r="D90" s="2" t="s">
        <v>84</v>
      </c>
      <c r="E90" s="7">
        <v>39343</v>
      </c>
      <c r="F90"/>
      <c r="G90"/>
      <c r="H90" s="56">
        <f>H89-0.1</f>
        <v>-1.5137</v>
      </c>
      <c r="I90" s="10"/>
      <c r="J90" s="27"/>
      <c r="K90" s="27"/>
      <c r="L90" s="7"/>
      <c r="M90" s="54"/>
    </row>
    <row r="91" spans="1:13" x14ac:dyDescent="0.2">
      <c r="A91" s="18" t="s">
        <v>138</v>
      </c>
      <c r="B91" t="s">
        <v>139</v>
      </c>
      <c r="C91" s="40">
        <v>43944</v>
      </c>
      <c r="D91" s="41" t="s">
        <v>23</v>
      </c>
      <c r="E91" s="42"/>
      <c r="F91" s="20"/>
      <c r="G91" s="20"/>
      <c r="H91" s="56">
        <v>-1.9312</v>
      </c>
      <c r="I91" s="10"/>
      <c r="J91" s="27"/>
      <c r="K91" s="27"/>
      <c r="L91" s="7"/>
      <c r="M91" s="44">
        <v>-1.9312</v>
      </c>
    </row>
    <row r="92" spans="1:13" x14ac:dyDescent="0.2">
      <c r="A92" s="18" t="s">
        <v>138</v>
      </c>
      <c r="B92" t="s">
        <v>139</v>
      </c>
      <c r="C92" s="40">
        <v>43944</v>
      </c>
      <c r="D92" s="41" t="s">
        <v>15</v>
      </c>
      <c r="E92" s="7">
        <v>29459</v>
      </c>
      <c r="F92" s="20"/>
      <c r="G92" s="20"/>
      <c r="H92" s="56">
        <v>-1.7648999999999999</v>
      </c>
      <c r="I92" s="27">
        <v>335.7</v>
      </c>
      <c r="J92" s="27">
        <v>333.2</v>
      </c>
      <c r="K92" s="27">
        <v>-2.5</v>
      </c>
      <c r="L92" s="7"/>
      <c r="M92" s="44"/>
    </row>
    <row r="93" spans="1:13" x14ac:dyDescent="0.2">
      <c r="A93" s="18" t="s">
        <v>138</v>
      </c>
      <c r="B93" t="s">
        <v>139</v>
      </c>
      <c r="C93" s="40">
        <v>43944</v>
      </c>
      <c r="D93" s="41" t="s">
        <v>21</v>
      </c>
      <c r="E93" s="42"/>
      <c r="F93" s="20">
        <v>156582</v>
      </c>
      <c r="G93" s="20">
        <v>517619</v>
      </c>
      <c r="H93" s="56">
        <v>3.0065</v>
      </c>
      <c r="I93" s="10"/>
      <c r="J93" s="27"/>
      <c r="K93" s="27"/>
      <c r="L93" s="7"/>
      <c r="M93" s="44">
        <v>3.0065</v>
      </c>
    </row>
    <row r="94" spans="1:13" x14ac:dyDescent="0.2">
      <c r="A94" s="18" t="s">
        <v>138</v>
      </c>
      <c r="B94" t="s">
        <v>139</v>
      </c>
      <c r="C94" s="40">
        <v>43944</v>
      </c>
      <c r="D94" s="41" t="s">
        <v>17</v>
      </c>
      <c r="E94" s="7">
        <v>9934</v>
      </c>
      <c r="F94" s="20"/>
      <c r="G94" s="20"/>
      <c r="H94" s="56">
        <v>-1.4814000000000001</v>
      </c>
      <c r="I94" s="10"/>
      <c r="J94" s="27"/>
      <c r="K94" s="27"/>
      <c r="L94" s="7"/>
      <c r="M94" s="103">
        <f>1.4754-2.967</f>
        <v>-1.4916</v>
      </c>
    </row>
    <row r="95" spans="1:13" x14ac:dyDescent="0.2">
      <c r="A95" s="18" t="s">
        <v>138</v>
      </c>
      <c r="B95" t="s">
        <v>139</v>
      </c>
      <c r="C95" s="40">
        <v>43944</v>
      </c>
      <c r="D95" s="2" t="s">
        <v>44</v>
      </c>
      <c r="E95" s="7">
        <v>14808</v>
      </c>
      <c r="F95"/>
      <c r="G95"/>
      <c r="H95" s="56">
        <v>-1.4137</v>
      </c>
      <c r="I95" s="27">
        <v>172.1</v>
      </c>
      <c r="J95" s="27">
        <v>171.2</v>
      </c>
      <c r="K95" s="27">
        <v>-0.90000000000000568</v>
      </c>
      <c r="L95" s="99">
        <f>-(941-36+7-134-12)</f>
        <v>-766</v>
      </c>
      <c r="M95" s="111" t="s">
        <v>158</v>
      </c>
    </row>
    <row r="96" spans="1:13" x14ac:dyDescent="0.2">
      <c r="A96" s="18" t="s">
        <v>138</v>
      </c>
      <c r="B96" t="s">
        <v>139</v>
      </c>
      <c r="C96" s="40">
        <v>43944</v>
      </c>
      <c r="D96" s="2" t="s">
        <v>84</v>
      </c>
      <c r="E96" s="7">
        <v>39343</v>
      </c>
      <c r="F96"/>
      <c r="G96"/>
      <c r="H96" s="56">
        <f>H95-0.1</f>
        <v>-1.5137</v>
      </c>
      <c r="I96" s="10"/>
      <c r="J96" s="27"/>
      <c r="K96" s="27"/>
      <c r="L96" s="7"/>
      <c r="M96" s="54"/>
    </row>
    <row r="97" spans="1:13" x14ac:dyDescent="0.2">
      <c r="A97" s="18" t="s">
        <v>138</v>
      </c>
      <c r="B97" t="s">
        <v>139</v>
      </c>
      <c r="C97" s="40">
        <v>43970</v>
      </c>
      <c r="D97" s="41" t="s">
        <v>23</v>
      </c>
      <c r="E97" s="42"/>
      <c r="F97" s="20"/>
      <c r="G97" s="20"/>
      <c r="H97" s="56">
        <v>-1.8857999999999999</v>
      </c>
      <c r="I97" s="10"/>
      <c r="J97" s="27"/>
      <c r="K97" s="27"/>
      <c r="L97" s="7"/>
      <c r="M97" s="44">
        <v>-1.8857999999999999</v>
      </c>
    </row>
    <row r="98" spans="1:13" x14ac:dyDescent="0.2">
      <c r="A98" s="18" t="s">
        <v>138</v>
      </c>
      <c r="B98" t="s">
        <v>139</v>
      </c>
      <c r="C98" s="40">
        <v>43970</v>
      </c>
      <c r="D98" s="41" t="s">
        <v>15</v>
      </c>
      <c r="E98" s="7">
        <v>29459</v>
      </c>
      <c r="F98" s="20"/>
      <c r="G98" s="20"/>
      <c r="H98" s="56">
        <v>-1.7648999999999999</v>
      </c>
      <c r="I98" s="27">
        <v>335.7</v>
      </c>
      <c r="J98" s="27">
        <v>333.2</v>
      </c>
      <c r="K98" s="27">
        <v>-2.5</v>
      </c>
      <c r="L98" s="7"/>
      <c r="M98" s="44"/>
    </row>
    <row r="99" spans="1:13" x14ac:dyDescent="0.2">
      <c r="A99" s="18" t="s">
        <v>138</v>
      </c>
      <c r="B99" t="s">
        <v>139</v>
      </c>
      <c r="C99" s="40">
        <v>43970</v>
      </c>
      <c r="D99" s="41" t="s">
        <v>21</v>
      </c>
      <c r="E99" s="42"/>
      <c r="F99" s="20">
        <v>156582</v>
      </c>
      <c r="G99" s="20">
        <v>517619</v>
      </c>
      <c r="H99" s="56">
        <v>2.9977</v>
      </c>
      <c r="I99" s="10"/>
      <c r="J99" s="27"/>
      <c r="K99" s="27"/>
      <c r="L99" s="7"/>
      <c r="M99" s="44">
        <v>2.9977</v>
      </c>
    </row>
    <row r="100" spans="1:13" x14ac:dyDescent="0.2">
      <c r="A100" s="18" t="s">
        <v>138</v>
      </c>
      <c r="B100" t="s">
        <v>139</v>
      </c>
      <c r="C100" s="40">
        <v>43970</v>
      </c>
      <c r="D100" s="41" t="s">
        <v>17</v>
      </c>
      <c r="E100" s="7">
        <v>9934</v>
      </c>
      <c r="F100" s="20"/>
      <c r="G100" s="20"/>
      <c r="H100" s="56">
        <v>-1.4814000000000001</v>
      </c>
      <c r="I100" s="10"/>
      <c r="J100" s="27"/>
      <c r="K100" s="27"/>
      <c r="L100" s="7"/>
      <c r="M100" s="103">
        <f>1.4828-2.967</f>
        <v>-1.4842000000000002</v>
      </c>
    </row>
    <row r="101" spans="1:13" x14ac:dyDescent="0.2">
      <c r="A101" s="18" t="s">
        <v>138</v>
      </c>
      <c r="B101" t="s">
        <v>139</v>
      </c>
      <c r="C101" s="40">
        <v>43970</v>
      </c>
      <c r="D101" s="2" t="s">
        <v>44</v>
      </c>
      <c r="E101" s="7">
        <v>14808</v>
      </c>
      <c r="F101"/>
      <c r="G101"/>
      <c r="H101" s="56">
        <v>-1.4137</v>
      </c>
      <c r="I101" s="27">
        <v>172.1</v>
      </c>
      <c r="J101" s="27">
        <v>171.2</v>
      </c>
      <c r="K101" s="27">
        <v>-0.90000000000000568</v>
      </c>
      <c r="L101" s="99">
        <f>-(941-36+7-134-12)</f>
        <v>-766</v>
      </c>
      <c r="M101" s="111" t="s">
        <v>159</v>
      </c>
    </row>
    <row r="102" spans="1:13" x14ac:dyDescent="0.2">
      <c r="A102" s="18" t="s">
        <v>138</v>
      </c>
      <c r="B102" t="s">
        <v>139</v>
      </c>
      <c r="C102" s="40">
        <v>43970</v>
      </c>
      <c r="D102" s="2" t="s">
        <v>84</v>
      </c>
      <c r="E102" s="7">
        <v>39343</v>
      </c>
      <c r="F102"/>
      <c r="G102"/>
      <c r="H102" s="56">
        <f>H101-0.1</f>
        <v>-1.5137</v>
      </c>
      <c r="I102" s="10"/>
      <c r="J102" s="27"/>
      <c r="K102" s="27"/>
      <c r="L102" s="7"/>
      <c r="M102" s="111" t="s">
        <v>159</v>
      </c>
    </row>
    <row r="103" spans="1:13" x14ac:dyDescent="0.2">
      <c r="A103" s="18" t="s">
        <v>138</v>
      </c>
      <c r="B103" t="s">
        <v>139</v>
      </c>
      <c r="C103" s="40">
        <v>43998</v>
      </c>
      <c r="D103" s="41" t="s">
        <v>23</v>
      </c>
      <c r="E103" s="42"/>
      <c r="F103" s="20"/>
      <c r="G103" s="20"/>
      <c r="H103" s="56">
        <v>-1.9278999999999999</v>
      </c>
      <c r="I103" s="10"/>
      <c r="J103" s="27"/>
      <c r="K103" s="27"/>
      <c r="L103" s="7"/>
      <c r="M103" s="44">
        <v>-1.9278999999999999</v>
      </c>
    </row>
    <row r="104" spans="1:13" x14ac:dyDescent="0.2">
      <c r="A104" s="18" t="s">
        <v>138</v>
      </c>
      <c r="B104" t="s">
        <v>139</v>
      </c>
      <c r="C104" s="40">
        <v>43998</v>
      </c>
      <c r="D104" s="41" t="s">
        <v>15</v>
      </c>
      <c r="E104" s="7">
        <v>29459</v>
      </c>
      <c r="F104" s="20"/>
      <c r="G104" s="20"/>
      <c r="H104" s="56">
        <v>-1.7648999999999999</v>
      </c>
      <c r="I104" s="27">
        <v>335.7</v>
      </c>
      <c r="J104" s="27">
        <v>333.2</v>
      </c>
      <c r="K104" s="27">
        <v>-2.5</v>
      </c>
      <c r="L104" s="7"/>
      <c r="M104" s="44" t="s">
        <v>160</v>
      </c>
    </row>
    <row r="105" spans="1:13" x14ac:dyDescent="0.2">
      <c r="A105" s="18" t="s">
        <v>138</v>
      </c>
      <c r="B105" t="s">
        <v>139</v>
      </c>
      <c r="C105" s="40">
        <v>43998</v>
      </c>
      <c r="D105" s="41" t="s">
        <v>21</v>
      </c>
      <c r="E105" s="42"/>
      <c r="F105" s="20">
        <v>156582</v>
      </c>
      <c r="G105" s="20">
        <v>517619</v>
      </c>
      <c r="H105" s="56">
        <v>2.9813000000000001</v>
      </c>
      <c r="I105" s="10"/>
      <c r="J105" s="27"/>
      <c r="K105" s="27"/>
      <c r="L105" s="7"/>
      <c r="M105" s="44">
        <v>2.9813000000000001</v>
      </c>
    </row>
    <row r="106" spans="1:13" x14ac:dyDescent="0.2">
      <c r="A106" s="18" t="s">
        <v>138</v>
      </c>
      <c r="B106" t="s">
        <v>139</v>
      </c>
      <c r="C106" s="40">
        <v>43998</v>
      </c>
      <c r="D106" s="41" t="s">
        <v>17</v>
      </c>
      <c r="E106" s="7">
        <v>9934</v>
      </c>
      <c r="F106" s="20"/>
      <c r="G106" s="20"/>
      <c r="H106" s="56">
        <v>-1.4814000000000001</v>
      </c>
      <c r="I106" s="10"/>
      <c r="J106" s="27"/>
      <c r="K106" s="27"/>
      <c r="L106" s="7"/>
      <c r="M106" s="103">
        <f>1.4662-2.967</f>
        <v>-1.5008000000000001</v>
      </c>
    </row>
    <row r="107" spans="1:13" x14ac:dyDescent="0.2">
      <c r="A107" s="18" t="s">
        <v>138</v>
      </c>
      <c r="B107" t="s">
        <v>139</v>
      </c>
      <c r="C107" s="40">
        <v>43998</v>
      </c>
      <c r="D107" s="2" t="s">
        <v>44</v>
      </c>
      <c r="E107" s="7">
        <v>14808</v>
      </c>
      <c r="F107"/>
      <c r="G107"/>
      <c r="H107" s="56">
        <v>-1.4137</v>
      </c>
      <c r="I107" s="27">
        <v>172.1</v>
      </c>
      <c r="J107" s="27">
        <v>171.2</v>
      </c>
      <c r="K107" s="27">
        <v>-0.90000000000000568</v>
      </c>
      <c r="L107" s="99">
        <f>-(941-36+7-134-12)</f>
        <v>-766</v>
      </c>
      <c r="M107" s="111">
        <f>-0.4543-0.945</f>
        <v>-1.3993</v>
      </c>
    </row>
    <row r="108" spans="1:13" x14ac:dyDescent="0.2">
      <c r="A108" s="18" t="s">
        <v>138</v>
      </c>
      <c r="B108" t="s">
        <v>139</v>
      </c>
      <c r="C108" s="40">
        <v>43998</v>
      </c>
      <c r="D108" s="2" t="s">
        <v>84</v>
      </c>
      <c r="E108" s="7">
        <v>39343</v>
      </c>
      <c r="F108"/>
      <c r="G108"/>
      <c r="H108" s="56">
        <f>H107-0.1</f>
        <v>-1.5137</v>
      </c>
      <c r="I108" s="10"/>
      <c r="J108" s="27"/>
      <c r="K108" s="27"/>
      <c r="L108" s="7"/>
      <c r="M108" s="111">
        <f>M107-0.1</f>
        <v>-1.4993000000000001</v>
      </c>
    </row>
    <row r="109" spans="1:13" x14ac:dyDescent="0.2">
      <c r="A109" s="18" t="s">
        <v>138</v>
      </c>
      <c r="B109" t="s">
        <v>139</v>
      </c>
      <c r="C109" s="40">
        <v>44026</v>
      </c>
      <c r="D109" s="41" t="s">
        <v>23</v>
      </c>
      <c r="E109" s="42"/>
      <c r="F109" s="20"/>
      <c r="G109" s="20"/>
      <c r="H109" s="56">
        <v>-1.9278999999999999</v>
      </c>
      <c r="I109" s="10"/>
      <c r="J109" s="27"/>
      <c r="K109" s="27"/>
      <c r="L109" s="7"/>
      <c r="M109" s="44">
        <v>-1.9413</v>
      </c>
    </row>
    <row r="110" spans="1:13" x14ac:dyDescent="0.2">
      <c r="A110" s="18" t="s">
        <v>138</v>
      </c>
      <c r="B110" t="s">
        <v>139</v>
      </c>
      <c r="C110" s="40">
        <v>44026</v>
      </c>
      <c r="D110" s="41" t="s">
        <v>15</v>
      </c>
      <c r="E110" s="7">
        <v>29459</v>
      </c>
      <c r="F110" s="20"/>
      <c r="G110" s="20"/>
      <c r="H110" s="56">
        <v>-1.7648999999999999</v>
      </c>
      <c r="I110" s="27">
        <v>335.7</v>
      </c>
      <c r="J110" s="27">
        <v>333.2</v>
      </c>
      <c r="K110" s="27">
        <v>-2.5</v>
      </c>
      <c r="L110" s="7"/>
      <c r="M110" s="44" t="s">
        <v>160</v>
      </c>
    </row>
    <row r="111" spans="1:13" x14ac:dyDescent="0.2">
      <c r="A111" s="18" t="s">
        <v>138</v>
      </c>
      <c r="B111" t="s">
        <v>139</v>
      </c>
      <c r="C111" s="40">
        <v>44026</v>
      </c>
      <c r="D111" s="41" t="s">
        <v>21</v>
      </c>
      <c r="E111" s="42"/>
      <c r="F111" s="20">
        <v>156582</v>
      </c>
      <c r="G111" s="20">
        <v>517619</v>
      </c>
      <c r="H111" s="56">
        <v>2.9813000000000001</v>
      </c>
      <c r="I111" s="10"/>
      <c r="J111" s="27"/>
      <c r="K111" s="27"/>
      <c r="L111" s="7"/>
      <c r="M111" s="44">
        <v>2.9805999999999999</v>
      </c>
    </row>
    <row r="112" spans="1:13" x14ac:dyDescent="0.2">
      <c r="A112" s="18" t="s">
        <v>138</v>
      </c>
      <c r="B112" t="s">
        <v>139</v>
      </c>
      <c r="C112" s="40">
        <v>44026</v>
      </c>
      <c r="D112" s="41" t="s">
        <v>17</v>
      </c>
      <c r="E112" s="7">
        <v>9934</v>
      </c>
      <c r="F112" s="20"/>
      <c r="G112" s="20"/>
      <c r="H112" s="132">
        <f>1.4502-2.967</f>
        <v>-1.5168000000000001</v>
      </c>
      <c r="I112" s="10"/>
      <c r="J112" s="27"/>
      <c r="K112" s="27"/>
      <c r="L112" s="7"/>
      <c r="M112" s="103">
        <f>1.4502-2.967</f>
        <v>-1.5168000000000001</v>
      </c>
    </row>
    <row r="113" spans="1:13" x14ac:dyDescent="0.2">
      <c r="A113" s="18" t="s">
        <v>138</v>
      </c>
      <c r="B113" t="s">
        <v>139</v>
      </c>
      <c r="C113" s="40">
        <v>44026</v>
      </c>
      <c r="D113" s="2" t="s">
        <v>44</v>
      </c>
      <c r="E113" s="7">
        <v>14808</v>
      </c>
      <c r="F113"/>
      <c r="G113"/>
      <c r="H113" s="56">
        <v>-1.4137</v>
      </c>
      <c r="I113" s="27">
        <v>172.1</v>
      </c>
      <c r="J113" s="27">
        <v>171.2</v>
      </c>
      <c r="K113" s="27">
        <v>-0.90000000000000568</v>
      </c>
      <c r="L113" s="99">
        <f>-(941-36+7-134-12)</f>
        <v>-766</v>
      </c>
      <c r="M113" s="111">
        <f>-0.4904-0.945</f>
        <v>-1.4354</v>
      </c>
    </row>
    <row r="114" spans="1:13" x14ac:dyDescent="0.2">
      <c r="A114" s="18" t="s">
        <v>138</v>
      </c>
      <c r="B114" t="s">
        <v>139</v>
      </c>
      <c r="C114" s="40">
        <v>44026</v>
      </c>
      <c r="D114" s="2" t="s">
        <v>84</v>
      </c>
      <c r="E114" s="7">
        <v>39343</v>
      </c>
      <c r="F114"/>
      <c r="G114"/>
      <c r="H114" s="56">
        <f>H113-0.1</f>
        <v>-1.5137</v>
      </c>
      <c r="I114" s="10"/>
      <c r="J114" s="27"/>
      <c r="K114" s="27"/>
      <c r="L114" s="7"/>
      <c r="M114" s="111">
        <f>M113-0.1</f>
        <v>-1.5354000000000001</v>
      </c>
    </row>
    <row r="115" spans="1:13" x14ac:dyDescent="0.2">
      <c r="A115" t="s">
        <v>138</v>
      </c>
      <c r="B115" t="s">
        <v>139</v>
      </c>
      <c r="C115" s="5">
        <v>44054</v>
      </c>
      <c r="D115" t="s">
        <v>23</v>
      </c>
      <c r="E115" s="7"/>
      <c r="F115"/>
      <c r="G115"/>
      <c r="H115" s="56">
        <v>-1.9278999999999999</v>
      </c>
      <c r="I115" s="10"/>
      <c r="J115" s="27"/>
      <c r="K115" s="27"/>
      <c r="L115" s="7"/>
      <c r="M115" s="51">
        <v>-1.92</v>
      </c>
    </row>
    <row r="116" spans="1:13" x14ac:dyDescent="0.2">
      <c r="A116" t="s">
        <v>138</v>
      </c>
      <c r="B116" t="s">
        <v>139</v>
      </c>
      <c r="C116" s="5">
        <v>44054</v>
      </c>
      <c r="D116" t="s">
        <v>15</v>
      </c>
      <c r="E116" s="7">
        <v>29459</v>
      </c>
      <c r="F116"/>
      <c r="G116"/>
      <c r="H116" s="56">
        <v>-1.7648999999999999</v>
      </c>
      <c r="I116" s="27">
        <v>335.7</v>
      </c>
      <c r="J116" s="27">
        <v>333.2</v>
      </c>
      <c r="K116" s="27">
        <v>-2.5</v>
      </c>
      <c r="L116" s="7"/>
      <c r="M116" s="51" t="s">
        <v>160</v>
      </c>
    </row>
    <row r="117" spans="1:13" x14ac:dyDescent="0.2">
      <c r="A117" t="s">
        <v>138</v>
      </c>
      <c r="B117" t="s">
        <v>139</v>
      </c>
      <c r="C117" s="5">
        <v>44054</v>
      </c>
      <c r="D117" t="s">
        <v>21</v>
      </c>
      <c r="E117" s="7"/>
      <c r="F117">
        <v>156582</v>
      </c>
      <c r="G117">
        <v>517619</v>
      </c>
      <c r="H117" s="56">
        <v>2.9813000000000001</v>
      </c>
      <c r="I117" s="10"/>
      <c r="J117" s="27"/>
      <c r="K117" s="27"/>
      <c r="L117" s="7"/>
      <c r="M117" s="51">
        <v>3.01</v>
      </c>
    </row>
    <row r="118" spans="1:13" x14ac:dyDescent="0.2">
      <c r="A118" t="s">
        <v>138</v>
      </c>
      <c r="B118" t="s">
        <v>139</v>
      </c>
      <c r="C118" s="5">
        <v>44054</v>
      </c>
      <c r="D118" t="s">
        <v>17</v>
      </c>
      <c r="E118" s="7">
        <v>9934</v>
      </c>
      <c r="F118"/>
      <c r="G118"/>
      <c r="H118" s="132">
        <f>1.4502-2.967</f>
        <v>-1.5168000000000001</v>
      </c>
      <c r="I118" s="10"/>
      <c r="J118" s="27"/>
      <c r="K118" s="27"/>
      <c r="L118" s="7"/>
      <c r="M118" s="51">
        <v>-1.49</v>
      </c>
    </row>
    <row r="119" spans="1:13" x14ac:dyDescent="0.2">
      <c r="A119" t="s">
        <v>138</v>
      </c>
      <c r="B119" t="s">
        <v>139</v>
      </c>
      <c r="C119" s="5">
        <v>44054</v>
      </c>
      <c r="D119" t="s">
        <v>44</v>
      </c>
      <c r="E119" s="7">
        <v>14808</v>
      </c>
      <c r="F119"/>
      <c r="G119"/>
      <c r="H119" s="56">
        <v>-1.4137</v>
      </c>
      <c r="I119" s="27">
        <v>172.1</v>
      </c>
      <c r="J119" s="27">
        <v>171.2</v>
      </c>
      <c r="K119" s="27">
        <v>-0.90000000000000568</v>
      </c>
      <c r="L119" s="7">
        <v>-766</v>
      </c>
      <c r="M119" s="51">
        <v>-1.42</v>
      </c>
    </row>
    <row r="120" spans="1:13" x14ac:dyDescent="0.2">
      <c r="A120" t="s">
        <v>138</v>
      </c>
      <c r="B120" t="s">
        <v>139</v>
      </c>
      <c r="C120" s="5">
        <v>44054</v>
      </c>
      <c r="D120" t="s">
        <v>84</v>
      </c>
      <c r="E120" s="7">
        <v>39343</v>
      </c>
      <c r="F120"/>
      <c r="G120"/>
      <c r="H120" s="56">
        <f>H119-0.1</f>
        <v>-1.5137</v>
      </c>
      <c r="I120" s="10"/>
      <c r="J120" s="27"/>
      <c r="K120" s="27"/>
      <c r="L120" s="7"/>
      <c r="M120" s="51">
        <v>-1.52</v>
      </c>
    </row>
    <row r="121" spans="1:13" x14ac:dyDescent="0.2">
      <c r="A121" t="s">
        <v>138</v>
      </c>
      <c r="B121" t="s">
        <v>139</v>
      </c>
      <c r="C121" s="5">
        <v>44082</v>
      </c>
      <c r="D121" t="s">
        <v>23</v>
      </c>
      <c r="E121" s="7"/>
      <c r="F121"/>
      <c r="G121"/>
      <c r="H121" s="56">
        <v>-1.9278999999999999</v>
      </c>
      <c r="I121" s="10"/>
      <c r="J121" s="27"/>
      <c r="K121" s="27"/>
      <c r="L121" s="7"/>
      <c r="M121" s="51">
        <v>-1.9645999999999999</v>
      </c>
    </row>
    <row r="122" spans="1:13" x14ac:dyDescent="0.2">
      <c r="A122" t="s">
        <v>138</v>
      </c>
      <c r="B122" t="s">
        <v>139</v>
      </c>
      <c r="C122" s="5">
        <v>44082</v>
      </c>
      <c r="D122" t="s">
        <v>15</v>
      </c>
      <c r="E122" s="7">
        <v>29459</v>
      </c>
      <c r="F122"/>
      <c r="G122"/>
      <c r="H122" s="56">
        <v>-1.7648999999999999</v>
      </c>
      <c r="I122" s="27">
        <v>335.7</v>
      </c>
      <c r="J122" s="27">
        <v>333.2</v>
      </c>
      <c r="K122" s="27">
        <v>-2.5</v>
      </c>
      <c r="L122" s="7"/>
      <c r="M122" s="51" t="s">
        <v>160</v>
      </c>
    </row>
    <row r="123" spans="1:13" x14ac:dyDescent="0.2">
      <c r="A123" t="s">
        <v>138</v>
      </c>
      <c r="B123" t="s">
        <v>139</v>
      </c>
      <c r="C123" s="5">
        <v>44082</v>
      </c>
      <c r="D123" t="s">
        <v>21</v>
      </c>
      <c r="E123" s="7"/>
      <c r="F123">
        <v>156582</v>
      </c>
      <c r="G123">
        <v>517619</v>
      </c>
      <c r="H123" s="56">
        <v>2.9897999999999998</v>
      </c>
      <c r="I123" s="10"/>
      <c r="J123" s="27"/>
      <c r="K123" s="27"/>
      <c r="L123" s="7"/>
      <c r="M123" s="51">
        <v>2.9897999999999998</v>
      </c>
    </row>
    <row r="124" spans="1:13" x14ac:dyDescent="0.2">
      <c r="A124" t="s">
        <v>138</v>
      </c>
      <c r="B124" t="s">
        <v>139</v>
      </c>
      <c r="C124" s="5">
        <v>44082</v>
      </c>
      <c r="D124" t="s">
        <v>17</v>
      </c>
      <c r="E124" s="7">
        <v>9934</v>
      </c>
      <c r="F124"/>
      <c r="G124"/>
      <c r="H124" s="132">
        <f>1.4502-2.967</f>
        <v>-1.5168000000000001</v>
      </c>
      <c r="I124" s="10"/>
      <c r="J124" s="27"/>
      <c r="K124" s="27"/>
      <c r="L124" s="7"/>
      <c r="M124" s="103">
        <f>1.4522-2.967</f>
        <v>-1.5148000000000001</v>
      </c>
    </row>
    <row r="125" spans="1:13" x14ac:dyDescent="0.2">
      <c r="A125" t="s">
        <v>138</v>
      </c>
      <c r="B125" t="s">
        <v>139</v>
      </c>
      <c r="C125" s="5">
        <v>44082</v>
      </c>
      <c r="D125" t="s">
        <v>44</v>
      </c>
      <c r="E125" s="7">
        <v>14808</v>
      </c>
      <c r="F125"/>
      <c r="G125"/>
      <c r="H125" s="56">
        <v>-1.4137</v>
      </c>
      <c r="I125" s="27">
        <v>172.1</v>
      </c>
      <c r="J125" s="27">
        <v>171.2</v>
      </c>
      <c r="K125" s="27">
        <v>-0.90000000000000568</v>
      </c>
      <c r="L125" s="158">
        <v>-782</v>
      </c>
      <c r="M125" s="111">
        <f>-0.4945-0.945</f>
        <v>-1.4395</v>
      </c>
    </row>
    <row r="126" spans="1:13" x14ac:dyDescent="0.2">
      <c r="A126" t="s">
        <v>138</v>
      </c>
      <c r="B126" t="s">
        <v>139</v>
      </c>
      <c r="C126" s="5">
        <v>44082</v>
      </c>
      <c r="D126" t="s">
        <v>84</v>
      </c>
      <c r="E126" s="7">
        <v>39343</v>
      </c>
      <c r="F126"/>
      <c r="G126"/>
      <c r="H126" s="56">
        <f>H125-0.1</f>
        <v>-1.5137</v>
      </c>
      <c r="I126" s="10"/>
      <c r="J126" s="27"/>
      <c r="K126" s="27"/>
      <c r="L126" s="7"/>
      <c r="M126" s="51">
        <v>-1.52</v>
      </c>
    </row>
    <row r="127" spans="1:13" x14ac:dyDescent="0.2">
      <c r="A127" t="s">
        <v>138</v>
      </c>
      <c r="B127" t="s">
        <v>139</v>
      </c>
      <c r="C127" s="5">
        <v>44138</v>
      </c>
      <c r="D127" t="s">
        <v>23</v>
      </c>
      <c r="E127" s="7"/>
      <c r="F127"/>
      <c r="G127"/>
      <c r="H127" s="56">
        <v>-1.9278999999999999</v>
      </c>
      <c r="I127" s="10"/>
      <c r="J127" s="27"/>
      <c r="K127" s="27"/>
      <c r="L127" s="7"/>
      <c r="M127" s="51">
        <v>-1.9487000000000001</v>
      </c>
    </row>
    <row r="128" spans="1:13" x14ac:dyDescent="0.2">
      <c r="A128" t="s">
        <v>138</v>
      </c>
      <c r="B128" t="s">
        <v>139</v>
      </c>
      <c r="C128" s="5">
        <v>44138</v>
      </c>
      <c r="D128" t="s">
        <v>15</v>
      </c>
      <c r="E128" s="7">
        <v>29459</v>
      </c>
      <c r="F128"/>
      <c r="G128"/>
      <c r="H128" s="56">
        <v>-1.7648999999999999</v>
      </c>
      <c r="I128" s="27">
        <v>335.7</v>
      </c>
      <c r="J128" s="27">
        <v>333.2</v>
      </c>
      <c r="K128" s="27">
        <v>-2.5</v>
      </c>
      <c r="L128" s="7"/>
      <c r="M128" s="51" t="s">
        <v>160</v>
      </c>
    </row>
    <row r="129" spans="1:14" x14ac:dyDescent="0.2">
      <c r="A129" t="s">
        <v>138</v>
      </c>
      <c r="B129" t="s">
        <v>139</v>
      </c>
      <c r="C129" s="5">
        <v>44138</v>
      </c>
      <c r="D129" t="s">
        <v>21</v>
      </c>
      <c r="E129" s="7"/>
      <c r="F129">
        <v>156582</v>
      </c>
      <c r="G129">
        <v>517619</v>
      </c>
      <c r="H129" s="56">
        <v>2.9897999999999998</v>
      </c>
      <c r="I129" s="10"/>
      <c r="J129" s="27"/>
      <c r="K129" s="27"/>
      <c r="L129" s="7"/>
      <c r="M129" s="51">
        <v>2.9853000000000001</v>
      </c>
    </row>
    <row r="130" spans="1:14" x14ac:dyDescent="0.2">
      <c r="A130" t="s">
        <v>138</v>
      </c>
      <c r="B130" t="s">
        <v>139</v>
      </c>
      <c r="C130" s="5">
        <v>44138</v>
      </c>
      <c r="D130" t="s">
        <v>17</v>
      </c>
      <c r="E130" s="7">
        <v>9934</v>
      </c>
      <c r="F130"/>
      <c r="G130"/>
      <c r="H130" s="132">
        <f>1.4502-2.967</f>
        <v>-1.5168000000000001</v>
      </c>
      <c r="I130" s="10"/>
      <c r="J130" s="27"/>
      <c r="K130" s="27"/>
      <c r="L130" s="7"/>
      <c r="M130" s="103">
        <f>1.448-2.967</f>
        <v>-1.5190000000000001</v>
      </c>
    </row>
    <row r="131" spans="1:14" x14ac:dyDescent="0.2">
      <c r="A131" t="s">
        <v>138</v>
      </c>
      <c r="B131" t="s">
        <v>139</v>
      </c>
      <c r="C131" s="5">
        <v>44138</v>
      </c>
      <c r="D131" t="s">
        <v>44</v>
      </c>
      <c r="E131" s="7">
        <v>14808</v>
      </c>
      <c r="F131"/>
      <c r="G131"/>
      <c r="H131" s="56">
        <v>-1.4226999999999999</v>
      </c>
      <c r="I131" s="27">
        <v>172.1</v>
      </c>
      <c r="J131" s="27">
        <v>171.2</v>
      </c>
      <c r="K131" s="27">
        <v>-0.90000000000000568</v>
      </c>
      <c r="L131" s="7">
        <v>-782</v>
      </c>
      <c r="M131" s="111">
        <f>-0.4777-0.945</f>
        <v>-1.4226999999999999</v>
      </c>
    </row>
    <row r="132" spans="1:14" x14ac:dyDescent="0.2">
      <c r="A132" t="s">
        <v>138</v>
      </c>
      <c r="B132" t="s">
        <v>139</v>
      </c>
      <c r="C132" s="5">
        <v>44138</v>
      </c>
      <c r="D132" t="s">
        <v>84</v>
      </c>
      <c r="E132" s="7">
        <v>39343</v>
      </c>
      <c r="F132"/>
      <c r="G132"/>
      <c r="H132" s="56">
        <f>H131-0.1</f>
        <v>-1.5226999999999999</v>
      </c>
      <c r="I132" s="10"/>
      <c r="J132" s="27"/>
      <c r="K132" s="27"/>
      <c r="L132" s="7"/>
      <c r="M132" s="51"/>
    </row>
    <row r="133" spans="1:14" x14ac:dyDescent="0.2">
      <c r="A133" t="s">
        <v>138</v>
      </c>
      <c r="B133" t="s">
        <v>139</v>
      </c>
      <c r="C133" s="5">
        <v>44167</v>
      </c>
      <c r="D133" t="s">
        <v>23</v>
      </c>
      <c r="E133" s="7"/>
      <c r="F133"/>
      <c r="G133"/>
      <c r="H133" s="56">
        <v>-1.9278999999999999</v>
      </c>
      <c r="I133" s="10"/>
      <c r="J133" s="27"/>
      <c r="K133" s="27"/>
      <c r="L133" s="7"/>
      <c r="M133" s="51">
        <v>-1.9105000000000001</v>
      </c>
    </row>
    <row r="134" spans="1:14" x14ac:dyDescent="0.2">
      <c r="A134" t="s">
        <v>138</v>
      </c>
      <c r="B134" t="s">
        <v>139</v>
      </c>
      <c r="C134" s="5">
        <v>44167</v>
      </c>
      <c r="D134" t="s">
        <v>15</v>
      </c>
      <c r="E134" s="7">
        <v>29459</v>
      </c>
      <c r="F134"/>
      <c r="G134"/>
      <c r="H134" s="56">
        <v>-1.7648999999999999</v>
      </c>
      <c r="I134" s="27">
        <v>335.7</v>
      </c>
      <c r="J134" s="27">
        <v>333.2</v>
      </c>
      <c r="K134" s="27">
        <v>-2.5</v>
      </c>
      <c r="L134" s="7"/>
      <c r="M134" s="51" t="s">
        <v>160</v>
      </c>
    </row>
    <row r="135" spans="1:14" x14ac:dyDescent="0.2">
      <c r="A135" t="s">
        <v>138</v>
      </c>
      <c r="B135" t="s">
        <v>139</v>
      </c>
      <c r="C135" s="5">
        <v>44167</v>
      </c>
      <c r="D135" t="s">
        <v>21</v>
      </c>
      <c r="E135" s="7"/>
      <c r="F135">
        <v>156582</v>
      </c>
      <c r="G135">
        <v>517619</v>
      </c>
      <c r="H135" s="56">
        <v>3.0158999999999998</v>
      </c>
      <c r="I135" s="10"/>
      <c r="J135" s="27"/>
      <c r="K135" s="27"/>
      <c r="L135" s="7"/>
      <c r="M135" s="51">
        <v>3.0158999999999998</v>
      </c>
    </row>
    <row r="136" spans="1:14" x14ac:dyDescent="0.2">
      <c r="A136" t="s">
        <v>138</v>
      </c>
      <c r="B136" t="s">
        <v>139</v>
      </c>
      <c r="C136" s="5">
        <v>44167</v>
      </c>
      <c r="D136" t="s">
        <v>17</v>
      </c>
      <c r="E136" s="7">
        <v>9934</v>
      </c>
      <c r="F136"/>
      <c r="G136"/>
      <c r="H136" s="132">
        <f>1.4502-2.967</f>
        <v>-1.5168000000000001</v>
      </c>
      <c r="I136" s="10"/>
      <c r="J136" s="27"/>
      <c r="K136" s="27"/>
      <c r="L136" s="7"/>
      <c r="M136" s="103">
        <f>1.48003-2.967</f>
        <v>-1.4869700000000001</v>
      </c>
    </row>
    <row r="137" spans="1:14" x14ac:dyDescent="0.2">
      <c r="A137" t="s">
        <v>138</v>
      </c>
      <c r="B137" t="s">
        <v>139</v>
      </c>
      <c r="C137" s="5">
        <v>44167</v>
      </c>
      <c r="D137" t="s">
        <v>44</v>
      </c>
      <c r="E137" s="7">
        <v>14808</v>
      </c>
      <c r="F137"/>
      <c r="G137"/>
      <c r="H137" s="56">
        <v>-1.4226999999999999</v>
      </c>
      <c r="I137" s="27">
        <v>172.1</v>
      </c>
      <c r="J137" s="27">
        <v>171.2</v>
      </c>
      <c r="K137" s="27">
        <v>-0.90000000000000568</v>
      </c>
      <c r="L137" s="158">
        <v>-788</v>
      </c>
      <c r="M137" s="111">
        <f>-0.4738-0.945</f>
        <v>-1.4188000000000001</v>
      </c>
    </row>
    <row r="138" spans="1:14" x14ac:dyDescent="0.2">
      <c r="A138" t="s">
        <v>138</v>
      </c>
      <c r="B138" t="s">
        <v>139</v>
      </c>
      <c r="C138" s="5">
        <v>44167</v>
      </c>
      <c r="D138" t="s">
        <v>84</v>
      </c>
      <c r="E138" s="7">
        <v>39343</v>
      </c>
      <c r="F138"/>
      <c r="G138"/>
      <c r="H138" s="56">
        <f>H137-0.1</f>
        <v>-1.5226999999999999</v>
      </c>
      <c r="I138" s="10"/>
      <c r="J138" s="27"/>
      <c r="K138" s="27"/>
      <c r="L138" s="7"/>
      <c r="M138" s="51"/>
    </row>
    <row r="139" spans="1:14" x14ac:dyDescent="0.2">
      <c r="A139" t="s">
        <v>138</v>
      </c>
      <c r="B139" t="s">
        <v>139</v>
      </c>
      <c r="C139" s="5">
        <v>44223</v>
      </c>
      <c r="D139" t="s">
        <v>23</v>
      </c>
      <c r="E139" s="7"/>
      <c r="F139"/>
      <c r="G139"/>
      <c r="H139" s="56">
        <v>-1.9278999999999999</v>
      </c>
      <c r="I139" s="10"/>
      <c r="J139" s="27"/>
      <c r="K139" s="27"/>
      <c r="L139" s="7"/>
      <c r="M139" s="51">
        <v>-1.8958999999999999</v>
      </c>
    </row>
    <row r="140" spans="1:14" x14ac:dyDescent="0.2">
      <c r="A140" t="s">
        <v>138</v>
      </c>
      <c r="B140" t="s">
        <v>139</v>
      </c>
      <c r="C140" s="5">
        <v>44223</v>
      </c>
      <c r="D140" t="s">
        <v>15</v>
      </c>
      <c r="E140" s="7">
        <v>29459</v>
      </c>
      <c r="F140"/>
      <c r="G140"/>
      <c r="H140" s="56">
        <v>-1.7648999999999999</v>
      </c>
      <c r="I140" s="27">
        <v>335.7</v>
      </c>
      <c r="J140" s="27">
        <v>333.2</v>
      </c>
      <c r="K140" s="27">
        <v>-2.5</v>
      </c>
      <c r="L140" s="7"/>
      <c r="M140" s="51" t="s">
        <v>160</v>
      </c>
    </row>
    <row r="141" spans="1:14" x14ac:dyDescent="0.2">
      <c r="A141" t="s">
        <v>138</v>
      </c>
      <c r="B141" t="s">
        <v>139</v>
      </c>
      <c r="C141" s="5">
        <v>44223</v>
      </c>
      <c r="D141" t="s">
        <v>21</v>
      </c>
      <c r="E141" s="7"/>
      <c r="F141">
        <v>156582</v>
      </c>
      <c r="G141">
        <v>517619</v>
      </c>
      <c r="H141" s="56">
        <v>3.0158999999999998</v>
      </c>
      <c r="I141" s="10"/>
      <c r="J141" s="27"/>
      <c r="K141" s="27"/>
      <c r="L141" s="7"/>
      <c r="M141" s="51">
        <v>2.9899</v>
      </c>
    </row>
    <row r="142" spans="1:14" x14ac:dyDescent="0.2">
      <c r="A142" t="s">
        <v>138</v>
      </c>
      <c r="B142" t="s">
        <v>139</v>
      </c>
      <c r="C142" s="5">
        <v>44223</v>
      </c>
      <c r="D142" t="s">
        <v>17</v>
      </c>
      <c r="E142" s="7">
        <v>9934</v>
      </c>
      <c r="F142"/>
      <c r="G142"/>
      <c r="H142" s="132">
        <f>1.4502-2.967</f>
        <v>-1.5168000000000001</v>
      </c>
      <c r="I142" s="10"/>
      <c r="J142" s="27"/>
      <c r="K142" s="27"/>
      <c r="L142" s="7"/>
      <c r="M142" s="103">
        <f>1.4611-2.967</f>
        <v>-1.5059</v>
      </c>
    </row>
    <row r="143" spans="1:14" x14ac:dyDescent="0.2">
      <c r="A143" t="s">
        <v>138</v>
      </c>
      <c r="B143" t="s">
        <v>139</v>
      </c>
      <c r="C143" s="5">
        <v>44223</v>
      </c>
      <c r="D143" t="s">
        <v>44</v>
      </c>
      <c r="E143" s="7">
        <v>14808</v>
      </c>
      <c r="F143"/>
      <c r="G143"/>
      <c r="H143" s="56">
        <v>-1.4226999999999999</v>
      </c>
      <c r="I143" s="27">
        <v>172.1</v>
      </c>
      <c r="J143" s="27">
        <v>171.2</v>
      </c>
      <c r="K143" s="27">
        <v>-0.90000000000000568</v>
      </c>
      <c r="L143" s="158">
        <v>-788</v>
      </c>
      <c r="M143" s="111">
        <f>-0.4728-0.945</f>
        <v>-1.4177999999999999</v>
      </c>
    </row>
    <row r="144" spans="1:14" s="126" customFormat="1" ht="13.5" thickBot="1" x14ac:dyDescent="0.25">
      <c r="A144" s="118" t="s">
        <v>138</v>
      </c>
      <c r="B144" s="118" t="s">
        <v>139</v>
      </c>
      <c r="C144" s="129">
        <v>44223</v>
      </c>
      <c r="D144" s="118" t="s">
        <v>84</v>
      </c>
      <c r="E144" s="121">
        <v>39343</v>
      </c>
      <c r="F144" s="118"/>
      <c r="G144" s="118"/>
      <c r="H144" s="173">
        <f>H143-0.1</f>
        <v>-1.5226999999999999</v>
      </c>
      <c r="I144" s="123"/>
      <c r="J144" s="131"/>
      <c r="K144" s="131"/>
      <c r="L144" s="121"/>
      <c r="M144" s="164"/>
      <c r="N144" s="125"/>
    </row>
    <row r="145" spans="1:13" x14ac:dyDescent="0.2">
      <c r="A145"/>
      <c r="B145"/>
      <c r="C145"/>
      <c r="D145"/>
      <c r="E145" s="7"/>
      <c r="F145"/>
      <c r="G145"/>
      <c r="H145" s="10"/>
      <c r="I145" s="10"/>
      <c r="J145" s="27"/>
      <c r="K145" s="27"/>
      <c r="L145" s="7"/>
      <c r="M145" s="51"/>
    </row>
    <row r="146" spans="1:13" x14ac:dyDescent="0.2">
      <c r="A146"/>
      <c r="B146"/>
      <c r="C146"/>
      <c r="D146"/>
      <c r="E146" s="7"/>
      <c r="F146"/>
      <c r="G146"/>
      <c r="H146" s="10"/>
      <c r="I146" s="10"/>
      <c r="J146" s="27"/>
      <c r="K146" s="27"/>
      <c r="L146" s="7"/>
      <c r="M146" s="51"/>
    </row>
    <row r="147" spans="1:13" x14ac:dyDescent="0.2">
      <c r="A147"/>
      <c r="B147"/>
      <c r="C147"/>
      <c r="D147"/>
      <c r="E147" s="7"/>
      <c r="F147"/>
      <c r="G147"/>
      <c r="H147" s="10"/>
      <c r="I147" s="10"/>
      <c r="J147" s="27"/>
      <c r="K147" s="27"/>
      <c r="L147" s="7"/>
      <c r="M147" s="51"/>
    </row>
    <row r="148" spans="1:13" x14ac:dyDescent="0.2">
      <c r="A148"/>
      <c r="B148"/>
      <c r="C148"/>
      <c r="D148"/>
      <c r="E148" s="7"/>
      <c r="F148"/>
      <c r="G148"/>
      <c r="H148" s="10"/>
      <c r="I148" s="10"/>
      <c r="J148" s="27"/>
      <c r="K148" s="27"/>
      <c r="L148" s="7"/>
      <c r="M148" s="51"/>
    </row>
    <row r="149" spans="1:13" x14ac:dyDescent="0.2">
      <c r="A149"/>
      <c r="B149"/>
      <c r="C149"/>
      <c r="D149"/>
      <c r="E149" s="7"/>
      <c r="F149"/>
      <c r="G149"/>
      <c r="H149" s="10"/>
      <c r="I149" s="10"/>
      <c r="J149" s="27"/>
      <c r="K149" s="27"/>
      <c r="L149" s="7"/>
      <c r="M149" s="51"/>
    </row>
    <row r="150" spans="1:13" x14ac:dyDescent="0.2">
      <c r="A150"/>
      <c r="B150"/>
      <c r="C150"/>
      <c r="D150"/>
      <c r="E150" s="7"/>
      <c r="F150"/>
      <c r="G150"/>
      <c r="H150" s="10"/>
      <c r="I150" s="10"/>
      <c r="J150" s="27"/>
      <c r="K150" s="27"/>
      <c r="L150" s="7"/>
      <c r="M150" s="51"/>
    </row>
    <row r="151" spans="1:13" x14ac:dyDescent="0.2">
      <c r="A151"/>
      <c r="B151"/>
      <c r="C151"/>
      <c r="D151"/>
      <c r="E151" s="7"/>
      <c r="F151"/>
      <c r="G151"/>
      <c r="H151" s="10"/>
      <c r="I151" s="10"/>
      <c r="J151" s="27"/>
      <c r="K151" s="27"/>
      <c r="L151" s="7"/>
      <c r="M151" s="51"/>
    </row>
    <row r="152" spans="1:13" x14ac:dyDescent="0.2">
      <c r="A152"/>
      <c r="B152"/>
      <c r="C152"/>
      <c r="D152"/>
      <c r="E152" s="7"/>
      <c r="F152"/>
      <c r="G152"/>
      <c r="H152" s="10"/>
      <c r="I152" s="10"/>
      <c r="J152" s="27"/>
      <c r="K152" s="27"/>
      <c r="L152" s="7"/>
      <c r="M152" s="51"/>
    </row>
    <row r="153" spans="1:13" x14ac:dyDescent="0.2">
      <c r="A153"/>
      <c r="B153"/>
      <c r="C153"/>
      <c r="D153"/>
      <c r="E153" s="7"/>
      <c r="F153"/>
      <c r="G153"/>
      <c r="H153" s="10"/>
      <c r="I153" s="10"/>
      <c r="J153" s="27"/>
      <c r="K153" s="27"/>
      <c r="L153" s="7"/>
      <c r="M153" s="51"/>
    </row>
    <row r="154" spans="1:13" x14ac:dyDescent="0.2">
      <c r="A154"/>
      <c r="B154"/>
      <c r="C154"/>
      <c r="D154"/>
      <c r="E154" s="7"/>
      <c r="F154"/>
      <c r="G154"/>
      <c r="H154" s="10"/>
      <c r="I154" s="10"/>
      <c r="J154" s="27"/>
      <c r="K154" s="27"/>
      <c r="L154" s="7"/>
      <c r="M154" s="51"/>
    </row>
    <row r="155" spans="1:13" x14ac:dyDescent="0.2">
      <c r="A155"/>
      <c r="B155"/>
      <c r="C155"/>
      <c r="D155"/>
      <c r="E155" s="7"/>
      <c r="F155"/>
      <c r="G155"/>
      <c r="H155" s="10"/>
      <c r="I155" s="10"/>
      <c r="J155" s="27"/>
      <c r="K155" s="27"/>
      <c r="L155" s="7"/>
      <c r="M155" s="51"/>
    </row>
    <row r="156" spans="1:13" x14ac:dyDescent="0.2">
      <c r="A156"/>
      <c r="B156"/>
      <c r="C156"/>
      <c r="D156"/>
      <c r="E156" s="7"/>
      <c r="F156"/>
      <c r="G156"/>
      <c r="H156" s="10"/>
      <c r="I156" s="10"/>
      <c r="J156" s="27"/>
      <c r="K156" s="27"/>
      <c r="L156" s="7"/>
      <c r="M156" s="51"/>
    </row>
    <row r="157" spans="1:13" x14ac:dyDescent="0.2">
      <c r="A157"/>
      <c r="B157"/>
      <c r="C157"/>
      <c r="D157"/>
      <c r="E157" s="7"/>
      <c r="F157"/>
      <c r="G157"/>
      <c r="H157" s="10"/>
      <c r="I157" s="10"/>
      <c r="J157" s="27"/>
      <c r="K157" s="27"/>
      <c r="L157" s="7"/>
      <c r="M157" s="51"/>
    </row>
    <row r="158" spans="1:13" x14ac:dyDescent="0.2">
      <c r="A158"/>
      <c r="B158"/>
      <c r="C158"/>
      <c r="D158"/>
      <c r="E158" s="7"/>
      <c r="F158"/>
      <c r="G158"/>
      <c r="H158" s="10"/>
      <c r="I158" s="10"/>
      <c r="J158" s="27"/>
      <c r="K158" s="27"/>
      <c r="L158" s="7"/>
      <c r="M158" s="51"/>
    </row>
    <row r="159" spans="1:13" x14ac:dyDescent="0.2">
      <c r="A159"/>
      <c r="B159"/>
      <c r="C159"/>
      <c r="D159"/>
      <c r="E159" s="7"/>
      <c r="F159"/>
      <c r="G159"/>
      <c r="H159" s="10"/>
      <c r="I159" s="10"/>
      <c r="J159" s="27"/>
      <c r="K159" s="27"/>
      <c r="L159" s="7"/>
      <c r="M159" s="51"/>
    </row>
    <row r="160" spans="1:13" x14ac:dyDescent="0.2">
      <c r="A160"/>
      <c r="B160"/>
      <c r="C160"/>
      <c r="D160"/>
      <c r="E160" s="7"/>
      <c r="F160"/>
      <c r="G160"/>
      <c r="H160" s="10"/>
      <c r="I160" s="10"/>
      <c r="J160" s="27"/>
      <c r="K160" s="27"/>
      <c r="L160" s="7"/>
      <c r="M160" s="51"/>
    </row>
    <row r="161" spans="1:13" x14ac:dyDescent="0.2">
      <c r="A161"/>
      <c r="B161"/>
      <c r="C161"/>
      <c r="D161"/>
      <c r="E161" s="7"/>
      <c r="F161"/>
      <c r="G161"/>
      <c r="H161" s="10"/>
      <c r="I161" s="10"/>
      <c r="J161" s="27"/>
      <c r="K161" s="27"/>
      <c r="L161" s="7"/>
      <c r="M161" s="51"/>
    </row>
    <row r="162" spans="1:13" x14ac:dyDescent="0.2">
      <c r="A162"/>
      <c r="B162"/>
      <c r="C162"/>
      <c r="D162"/>
      <c r="E162" s="7"/>
      <c r="F162"/>
      <c r="G162"/>
      <c r="H162" s="10"/>
      <c r="I162" s="10"/>
      <c r="J162" s="27"/>
      <c r="K162" s="27"/>
      <c r="L162" s="7"/>
      <c r="M162" s="51"/>
    </row>
    <row r="163" spans="1:13" x14ac:dyDescent="0.2">
      <c r="A163"/>
      <c r="B163"/>
      <c r="C163"/>
      <c r="D163"/>
      <c r="E163" s="7"/>
      <c r="F163"/>
      <c r="G163"/>
      <c r="H163" s="10"/>
      <c r="I163" s="10"/>
      <c r="J163" s="27"/>
      <c r="K163" s="27"/>
      <c r="L163" s="7"/>
      <c r="M163" s="51"/>
    </row>
    <row r="164" spans="1:13" x14ac:dyDescent="0.2">
      <c r="A164"/>
      <c r="B164"/>
      <c r="C164"/>
      <c r="D164"/>
      <c r="E164" s="7"/>
      <c r="F164"/>
      <c r="G164"/>
      <c r="H164" s="10"/>
      <c r="I164" s="10"/>
      <c r="J164" s="27"/>
      <c r="K164" s="27"/>
      <c r="L164" s="7"/>
      <c r="M164" s="51"/>
    </row>
    <row r="165" spans="1:13" x14ac:dyDescent="0.2">
      <c r="A165"/>
      <c r="B165"/>
      <c r="C165"/>
      <c r="D165"/>
      <c r="E165" s="7"/>
      <c r="F165"/>
      <c r="G165"/>
      <c r="H165" s="10"/>
      <c r="I165" s="10"/>
      <c r="J165" s="27"/>
      <c r="K165" s="27"/>
      <c r="L165" s="7"/>
      <c r="M165" s="51"/>
    </row>
    <row r="166" spans="1:13" x14ac:dyDescent="0.2">
      <c r="A166"/>
      <c r="B166"/>
      <c r="C166"/>
      <c r="D166"/>
      <c r="E166" s="7"/>
      <c r="F166"/>
      <c r="G166"/>
      <c r="H166" s="10"/>
      <c r="I166" s="10"/>
      <c r="J166" s="27"/>
      <c r="K166" s="27"/>
      <c r="L166" s="7"/>
      <c r="M166" s="51"/>
    </row>
    <row r="167" spans="1:13" x14ac:dyDescent="0.2">
      <c r="A167"/>
      <c r="B167"/>
      <c r="C167"/>
      <c r="D167"/>
      <c r="E167" s="7"/>
      <c r="F167"/>
      <c r="G167"/>
      <c r="H167" s="10"/>
      <c r="I167" s="10"/>
      <c r="J167" s="27"/>
      <c r="K167" s="27"/>
      <c r="L167" s="7"/>
      <c r="M167" s="51"/>
    </row>
    <row r="168" spans="1:13" x14ac:dyDescent="0.2">
      <c r="A168"/>
      <c r="B168"/>
      <c r="C168"/>
      <c r="D168"/>
      <c r="E168" s="7"/>
      <c r="F168"/>
      <c r="G168"/>
      <c r="H168" s="10"/>
      <c r="I168" s="10"/>
      <c r="J168" s="27"/>
      <c r="K168" s="27"/>
      <c r="L168" s="7"/>
      <c r="M168" s="51"/>
    </row>
    <row r="169" spans="1:13" x14ac:dyDescent="0.2">
      <c r="A169"/>
      <c r="B169"/>
      <c r="C169"/>
      <c r="D169"/>
      <c r="E169" s="7"/>
      <c r="F169"/>
      <c r="G169"/>
      <c r="H169" s="10"/>
      <c r="I169" s="10"/>
      <c r="J169" s="27"/>
      <c r="K169" s="27"/>
      <c r="L169" s="7"/>
      <c r="M169" s="51"/>
    </row>
    <row r="170" spans="1:13" x14ac:dyDescent="0.2">
      <c r="A170"/>
      <c r="B170"/>
      <c r="C170"/>
      <c r="D170"/>
      <c r="E170" s="7"/>
      <c r="F170"/>
      <c r="G170"/>
      <c r="H170" s="10"/>
      <c r="I170" s="10"/>
      <c r="J170" s="27"/>
      <c r="K170" s="27"/>
      <c r="L170" s="7"/>
      <c r="M170" s="51"/>
    </row>
    <row r="171" spans="1:13" x14ac:dyDescent="0.2">
      <c r="A171"/>
      <c r="B171"/>
      <c r="C171"/>
      <c r="D171"/>
      <c r="E171" s="7"/>
      <c r="F171"/>
      <c r="G171"/>
      <c r="H171" s="10"/>
      <c r="I171" s="10"/>
      <c r="J171" s="27"/>
      <c r="K171" s="27"/>
      <c r="L171" s="7"/>
      <c r="M171" s="51"/>
    </row>
    <row r="172" spans="1:13" x14ac:dyDescent="0.2">
      <c r="A172"/>
      <c r="B172"/>
      <c r="C172"/>
      <c r="D172"/>
      <c r="E172" s="7"/>
      <c r="F172"/>
      <c r="G172"/>
      <c r="H172" s="10"/>
      <c r="I172" s="10"/>
      <c r="J172" s="27"/>
      <c r="K172" s="27"/>
      <c r="L172" s="7"/>
      <c r="M172" s="51"/>
    </row>
    <row r="173" spans="1:13" x14ac:dyDescent="0.2">
      <c r="A173"/>
      <c r="B173"/>
      <c r="C173"/>
      <c r="D173"/>
      <c r="E173" s="7"/>
      <c r="F173"/>
      <c r="G173"/>
      <c r="H173" s="10"/>
      <c r="I173" s="10"/>
      <c r="J173" s="27"/>
      <c r="K173" s="27"/>
      <c r="L173" s="7"/>
      <c r="M173" s="51"/>
    </row>
    <row r="174" spans="1:13" x14ac:dyDescent="0.2">
      <c r="A174"/>
      <c r="B174"/>
      <c r="C174"/>
      <c r="D174"/>
      <c r="E174" s="7"/>
      <c r="F174"/>
      <c r="G174"/>
      <c r="H174" s="10"/>
      <c r="I174" s="10"/>
      <c r="J174" s="27"/>
      <c r="K174" s="27"/>
      <c r="L174" s="7"/>
      <c r="M174" s="51"/>
    </row>
    <row r="175" spans="1:13" x14ac:dyDescent="0.2">
      <c r="A175"/>
      <c r="B175"/>
      <c r="C175"/>
      <c r="D175"/>
      <c r="E175" s="7"/>
      <c r="F175"/>
      <c r="G175"/>
      <c r="H175" s="10"/>
      <c r="I175" s="10"/>
      <c r="J175" s="27"/>
      <c r="K175" s="27"/>
      <c r="L175" s="7"/>
      <c r="M175" s="51"/>
    </row>
    <row r="176" spans="1:13" x14ac:dyDescent="0.2">
      <c r="A176"/>
      <c r="B176"/>
      <c r="C176"/>
      <c r="D176"/>
      <c r="E176" s="7"/>
      <c r="F176"/>
      <c r="G176"/>
      <c r="H176" s="10"/>
      <c r="I176" s="10"/>
      <c r="J176" s="27"/>
      <c r="K176" s="27"/>
      <c r="L176" s="7"/>
      <c r="M176" s="51"/>
    </row>
    <row r="177" spans="1:13" x14ac:dyDescent="0.2">
      <c r="A177"/>
      <c r="B177"/>
      <c r="C177"/>
      <c r="D177"/>
      <c r="E177" s="7"/>
      <c r="F177"/>
      <c r="G177"/>
      <c r="H177" s="10"/>
      <c r="I177" s="10"/>
      <c r="J177" s="27"/>
      <c r="K177" s="27"/>
      <c r="L177" s="7"/>
      <c r="M177" s="51"/>
    </row>
    <row r="178" spans="1:13" x14ac:dyDescent="0.2">
      <c r="A178"/>
      <c r="B178"/>
      <c r="C178"/>
      <c r="D178"/>
      <c r="E178" s="7"/>
      <c r="F178"/>
      <c r="G178"/>
      <c r="H178" s="10"/>
      <c r="I178" s="10"/>
      <c r="J178" s="27"/>
      <c r="K178" s="27"/>
      <c r="L178" s="7"/>
      <c r="M178" s="51"/>
    </row>
    <row r="179" spans="1:13" x14ac:dyDescent="0.2">
      <c r="A179"/>
      <c r="B179"/>
      <c r="C179"/>
      <c r="D179"/>
      <c r="E179" s="7"/>
      <c r="F179"/>
      <c r="G179"/>
      <c r="H179" s="10"/>
      <c r="I179" s="10"/>
      <c r="J179" s="27"/>
      <c r="K179" s="27"/>
      <c r="L179" s="7"/>
      <c r="M179" s="51"/>
    </row>
    <row r="180" spans="1:13" x14ac:dyDescent="0.2">
      <c r="A180"/>
      <c r="B180"/>
      <c r="C180"/>
      <c r="D180"/>
      <c r="E180" s="7"/>
      <c r="F180"/>
      <c r="G180"/>
      <c r="H180" s="10"/>
      <c r="I180" s="10"/>
      <c r="J180" s="27"/>
      <c r="K180" s="27"/>
      <c r="L180" s="7"/>
      <c r="M180" s="51"/>
    </row>
    <row r="181" spans="1:13" x14ac:dyDescent="0.2">
      <c r="A181"/>
      <c r="B181"/>
      <c r="C181"/>
      <c r="D181"/>
      <c r="E181" s="7"/>
      <c r="F181"/>
      <c r="G181"/>
      <c r="H181" s="10"/>
      <c r="I181" s="10"/>
      <c r="J181" s="27"/>
      <c r="K181" s="27"/>
      <c r="L181" s="7"/>
      <c r="M181" s="51"/>
    </row>
    <row r="182" spans="1:13" x14ac:dyDescent="0.2">
      <c r="A182"/>
      <c r="B182"/>
      <c r="C182"/>
      <c r="D182"/>
      <c r="E182" s="7"/>
      <c r="F182"/>
      <c r="G182"/>
      <c r="H182" s="10"/>
      <c r="I182" s="10"/>
      <c r="J182" s="27"/>
      <c r="K182" s="27"/>
      <c r="L182" s="7"/>
      <c r="M182" s="51"/>
    </row>
    <row r="183" spans="1:13" x14ac:dyDescent="0.2">
      <c r="A183"/>
      <c r="B183"/>
      <c r="C183"/>
      <c r="D183"/>
      <c r="E183" s="7"/>
      <c r="F183"/>
      <c r="G183"/>
      <c r="H183" s="10"/>
      <c r="I183" s="10"/>
      <c r="J183" s="27"/>
      <c r="K183" s="27"/>
      <c r="L183" s="7"/>
      <c r="M183" s="51"/>
    </row>
    <row r="184" spans="1:13" x14ac:dyDescent="0.2">
      <c r="A184"/>
      <c r="B184"/>
      <c r="C184"/>
      <c r="D184"/>
      <c r="E184" s="7"/>
      <c r="F184"/>
      <c r="G184"/>
      <c r="H184" s="10"/>
      <c r="I184" s="10"/>
      <c r="J184" s="27"/>
      <c r="K184" s="27"/>
      <c r="L184" s="7"/>
      <c r="M184" s="51"/>
    </row>
    <row r="185" spans="1:13" x14ac:dyDescent="0.2">
      <c r="A185"/>
      <c r="B185"/>
      <c r="C185"/>
      <c r="D185"/>
      <c r="E185" s="7"/>
      <c r="F185"/>
      <c r="G185"/>
      <c r="H185" s="10"/>
      <c r="I185" s="10"/>
      <c r="J185" s="27"/>
      <c r="K185" s="27"/>
      <c r="L185" s="7"/>
      <c r="M185" s="51"/>
    </row>
    <row r="186" spans="1:13" x14ac:dyDescent="0.2">
      <c r="A186"/>
      <c r="B186"/>
      <c r="C186"/>
      <c r="D186"/>
      <c r="E186" s="7"/>
      <c r="F186"/>
      <c r="G186"/>
      <c r="H186" s="10"/>
      <c r="I186" s="10"/>
      <c r="J186" s="27"/>
      <c r="K186" s="27"/>
      <c r="L186" s="7"/>
      <c r="M186" s="51"/>
    </row>
    <row r="187" spans="1:13" x14ac:dyDescent="0.2">
      <c r="A187"/>
      <c r="B187"/>
      <c r="C187"/>
      <c r="D187"/>
      <c r="E187" s="7"/>
      <c r="F187"/>
      <c r="G187"/>
      <c r="H187" s="10"/>
      <c r="I187" s="10"/>
      <c r="J187" s="27"/>
      <c r="K187" s="27"/>
      <c r="L187" s="7"/>
      <c r="M187" s="51"/>
    </row>
    <row r="188" spans="1:13" x14ac:dyDescent="0.2">
      <c r="A188"/>
      <c r="B188"/>
      <c r="C188"/>
      <c r="D188"/>
      <c r="E188" s="7"/>
      <c r="F188"/>
      <c r="G188"/>
      <c r="H188" s="10"/>
      <c r="I188" s="10"/>
      <c r="J188" s="27"/>
      <c r="K188" s="27"/>
      <c r="L188" s="7"/>
      <c r="M188" s="51"/>
    </row>
    <row r="189" spans="1:13" x14ac:dyDescent="0.2">
      <c r="A189"/>
      <c r="B189"/>
      <c r="C189"/>
      <c r="D189"/>
      <c r="E189" s="7"/>
      <c r="F189"/>
      <c r="G189"/>
      <c r="H189" s="10"/>
      <c r="I189" s="10"/>
      <c r="J189" s="27"/>
      <c r="K189" s="27"/>
      <c r="L189" s="7"/>
      <c r="M189" s="51"/>
    </row>
    <row r="190" spans="1:13" x14ac:dyDescent="0.2">
      <c r="A190"/>
      <c r="B190"/>
      <c r="C190"/>
      <c r="D190"/>
      <c r="E190" s="7"/>
      <c r="F190"/>
      <c r="G190"/>
      <c r="H190" s="10"/>
      <c r="I190" s="10"/>
      <c r="J190" s="27"/>
      <c r="K190" s="27"/>
      <c r="L190" s="7"/>
      <c r="M190" s="51"/>
    </row>
    <row r="191" spans="1:13" x14ac:dyDescent="0.2">
      <c r="A191"/>
      <c r="B191"/>
      <c r="C191"/>
      <c r="D191"/>
      <c r="E191" s="7"/>
      <c r="F191"/>
      <c r="G191"/>
      <c r="H191" s="10"/>
      <c r="I191" s="10"/>
      <c r="J191" s="27"/>
      <c r="K191" s="27"/>
      <c r="L191" s="7"/>
      <c r="M191" s="51"/>
    </row>
    <row r="192" spans="1:13" x14ac:dyDescent="0.2">
      <c r="A192"/>
      <c r="B192"/>
      <c r="C192"/>
      <c r="D192"/>
      <c r="E192" s="7"/>
      <c r="F192"/>
      <c r="G192"/>
      <c r="H192" s="10"/>
      <c r="I192" s="10"/>
      <c r="J192" s="27"/>
      <c r="K192" s="27"/>
      <c r="L192" s="7"/>
      <c r="M192" s="51"/>
    </row>
    <row r="193" spans="1:13" x14ac:dyDescent="0.2">
      <c r="A193"/>
      <c r="B193"/>
      <c r="C193"/>
      <c r="D193"/>
      <c r="E193" s="7"/>
      <c r="F193"/>
      <c r="G193"/>
      <c r="H193" s="10"/>
      <c r="I193" s="10"/>
      <c r="J193" s="27"/>
      <c r="K193" s="27"/>
      <c r="L193" s="7"/>
      <c r="M193" s="51"/>
    </row>
    <row r="194" spans="1:13" x14ac:dyDescent="0.2">
      <c r="A194"/>
      <c r="B194"/>
      <c r="C194"/>
      <c r="D194"/>
      <c r="E194" s="7"/>
      <c r="F194"/>
      <c r="G194"/>
      <c r="H194" s="10"/>
      <c r="I194" s="10"/>
      <c r="J194" s="27"/>
      <c r="K194" s="27"/>
      <c r="L194" s="7"/>
      <c r="M194" s="51"/>
    </row>
    <row r="195" spans="1:13" x14ac:dyDescent="0.2">
      <c r="A195"/>
      <c r="B195"/>
      <c r="C195"/>
      <c r="D195"/>
      <c r="E195" s="7"/>
      <c r="F195"/>
      <c r="G195"/>
      <c r="H195" s="10"/>
      <c r="I195" s="10"/>
      <c r="J195" s="27"/>
      <c r="K195" s="27"/>
      <c r="L195" s="7"/>
      <c r="M195" s="51"/>
    </row>
    <row r="196" spans="1:13" x14ac:dyDescent="0.2">
      <c r="A196"/>
      <c r="B196"/>
      <c r="C196"/>
      <c r="D196"/>
      <c r="E196" s="7"/>
      <c r="F196"/>
      <c r="G196"/>
      <c r="H196" s="10"/>
      <c r="I196" s="10"/>
      <c r="J196" s="27"/>
      <c r="K196" s="27"/>
      <c r="L196" s="7"/>
      <c r="M196" s="51"/>
    </row>
    <row r="197" spans="1:13" x14ac:dyDescent="0.2">
      <c r="A197"/>
      <c r="B197"/>
      <c r="C197"/>
      <c r="D197"/>
      <c r="E197" s="7"/>
      <c r="F197"/>
      <c r="G197"/>
      <c r="H197" s="10"/>
      <c r="I197" s="10"/>
      <c r="J197" s="27"/>
      <c r="K197" s="27"/>
      <c r="L197" s="7"/>
      <c r="M197" s="51"/>
    </row>
    <row r="198" spans="1:13" x14ac:dyDescent="0.2">
      <c r="A198"/>
      <c r="B198"/>
      <c r="C198"/>
      <c r="D198"/>
      <c r="E198" s="7"/>
      <c r="F198"/>
      <c r="G198"/>
      <c r="H198" s="10"/>
      <c r="I198" s="10"/>
      <c r="J198" s="27"/>
      <c r="K198" s="27"/>
      <c r="L198" s="7"/>
      <c r="M198" s="51"/>
    </row>
    <row r="199" spans="1:13" x14ac:dyDescent="0.2">
      <c r="A199"/>
      <c r="B199"/>
      <c r="C199"/>
      <c r="D199"/>
      <c r="E199" s="7"/>
      <c r="F199"/>
      <c r="G199"/>
      <c r="H199" s="10"/>
      <c r="I199" s="10"/>
      <c r="J199" s="27"/>
      <c r="K199" s="27"/>
      <c r="L199" s="7"/>
      <c r="M199" s="51"/>
    </row>
    <row r="200" spans="1:13" x14ac:dyDescent="0.2">
      <c r="A200"/>
      <c r="B200"/>
      <c r="C200"/>
      <c r="D200"/>
      <c r="E200" s="7"/>
      <c r="F200"/>
      <c r="G200"/>
      <c r="H200" s="10"/>
      <c r="I200" s="10"/>
      <c r="J200" s="27"/>
      <c r="K200" s="27"/>
      <c r="L200" s="7"/>
      <c r="M200" s="51"/>
    </row>
    <row r="201" spans="1:13" x14ac:dyDescent="0.2">
      <c r="A201"/>
      <c r="B201"/>
      <c r="C201"/>
      <c r="D201"/>
      <c r="E201" s="7"/>
      <c r="F201"/>
      <c r="G201"/>
      <c r="H201" s="10"/>
      <c r="I201" s="10"/>
      <c r="J201" s="27"/>
      <c r="K201" s="27"/>
      <c r="L201" s="7"/>
      <c r="M201" s="51"/>
    </row>
    <row r="202" spans="1:13" x14ac:dyDescent="0.2">
      <c r="A202"/>
      <c r="B202"/>
      <c r="C202"/>
      <c r="D202"/>
      <c r="E202" s="7"/>
      <c r="F202"/>
      <c r="G202"/>
      <c r="H202" s="10"/>
      <c r="I202" s="10"/>
      <c r="J202" s="27"/>
      <c r="K202" s="27"/>
      <c r="L202" s="7"/>
      <c r="M202" s="51"/>
    </row>
    <row r="203" spans="1:13" x14ac:dyDescent="0.2">
      <c r="A203"/>
      <c r="B203"/>
      <c r="C203"/>
      <c r="D203"/>
      <c r="E203" s="7"/>
      <c r="F203"/>
      <c r="G203"/>
      <c r="H203" s="10"/>
      <c r="I203" s="10"/>
      <c r="J203" s="27"/>
      <c r="K203" s="27"/>
      <c r="L203" s="7"/>
      <c r="M203" s="51"/>
    </row>
    <row r="204" spans="1:13" x14ac:dyDescent="0.2">
      <c r="A204"/>
      <c r="B204"/>
      <c r="C204"/>
      <c r="D204"/>
      <c r="E204" s="7"/>
      <c r="F204"/>
      <c r="G204"/>
      <c r="H204" s="10"/>
      <c r="I204" s="10"/>
      <c r="J204" s="27"/>
      <c r="K204" s="27"/>
      <c r="L204" s="7"/>
      <c r="M204" s="51"/>
    </row>
    <row r="205" spans="1:13" x14ac:dyDescent="0.2">
      <c r="A205"/>
      <c r="B205"/>
      <c r="C205"/>
      <c r="D205"/>
      <c r="E205" s="7"/>
      <c r="F205"/>
      <c r="G205"/>
      <c r="H205" s="10"/>
      <c r="I205" s="10"/>
      <c r="J205" s="27"/>
      <c r="K205" s="27"/>
      <c r="L205" s="7"/>
      <c r="M205" s="51"/>
    </row>
    <row r="206" spans="1:13" x14ac:dyDescent="0.2">
      <c r="A206"/>
      <c r="B206"/>
      <c r="C206"/>
      <c r="D206"/>
      <c r="E206" s="7"/>
      <c r="F206"/>
      <c r="G206"/>
      <c r="H206" s="10"/>
      <c r="I206" s="10"/>
      <c r="J206" s="27"/>
      <c r="K206" s="27"/>
      <c r="L206" s="7"/>
      <c r="M206" s="51"/>
    </row>
    <row r="207" spans="1:13" x14ac:dyDescent="0.2">
      <c r="A207"/>
      <c r="B207"/>
      <c r="C207"/>
      <c r="D207"/>
      <c r="E207" s="7"/>
      <c r="F207"/>
      <c r="G207"/>
      <c r="H207" s="10"/>
      <c r="I207" s="10"/>
      <c r="J207" s="27"/>
      <c r="K207" s="27"/>
      <c r="L207" s="7"/>
      <c r="M207" s="51"/>
    </row>
    <row r="208" spans="1:13" x14ac:dyDescent="0.2">
      <c r="A208"/>
      <c r="B208"/>
      <c r="C208"/>
      <c r="D208"/>
      <c r="E208" s="7"/>
      <c r="F208"/>
      <c r="G208"/>
      <c r="H208" s="10"/>
      <c r="I208" s="10"/>
      <c r="J208" s="27"/>
      <c r="K208" s="27"/>
      <c r="L208" s="7"/>
      <c r="M208" s="51"/>
    </row>
    <row r="209" spans="1:13" x14ac:dyDescent="0.2">
      <c r="A209"/>
      <c r="B209"/>
      <c r="C209"/>
      <c r="D209"/>
      <c r="E209" s="7"/>
      <c r="F209"/>
      <c r="G209"/>
      <c r="H209" s="10"/>
      <c r="I209" s="10"/>
      <c r="J209" s="27"/>
      <c r="K209" s="27"/>
      <c r="L209" s="7"/>
      <c r="M209" s="51"/>
    </row>
    <row r="210" spans="1:13" x14ac:dyDescent="0.2">
      <c r="A210"/>
      <c r="B210"/>
      <c r="C210"/>
      <c r="D210"/>
      <c r="E210" s="7"/>
      <c r="F210"/>
      <c r="G210"/>
      <c r="H210" s="10"/>
      <c r="I210" s="10"/>
      <c r="J210" s="27"/>
      <c r="K210" s="27"/>
      <c r="L210" s="7"/>
      <c r="M210" s="51"/>
    </row>
    <row r="211" spans="1:13" x14ac:dyDescent="0.2">
      <c r="A211"/>
      <c r="B211"/>
      <c r="C211"/>
      <c r="D211"/>
      <c r="E211" s="7"/>
      <c r="F211"/>
      <c r="G211"/>
      <c r="H211" s="10"/>
      <c r="I211" s="10"/>
      <c r="J211" s="27"/>
      <c r="K211" s="27"/>
      <c r="L211" s="7"/>
      <c r="M211" s="51"/>
    </row>
    <row r="212" spans="1:13" x14ac:dyDescent="0.2">
      <c r="A212"/>
      <c r="B212"/>
      <c r="C212"/>
      <c r="D212"/>
      <c r="E212" s="7"/>
      <c r="F212"/>
      <c r="G212"/>
      <c r="H212" s="10"/>
      <c r="I212" s="10"/>
      <c r="J212" s="27"/>
      <c r="K212" s="27"/>
      <c r="L212" s="7"/>
      <c r="M212" s="51"/>
    </row>
    <row r="213" spans="1:13" x14ac:dyDescent="0.2">
      <c r="A213"/>
      <c r="B213"/>
      <c r="C213"/>
      <c r="D213"/>
      <c r="E213" s="7"/>
      <c r="F213"/>
      <c r="G213"/>
      <c r="H213" s="10"/>
      <c r="I213" s="10"/>
      <c r="J213" s="27"/>
      <c r="K213" s="27"/>
      <c r="L213" s="7"/>
      <c r="M213" s="51"/>
    </row>
    <row r="214" spans="1:13" x14ac:dyDescent="0.2">
      <c r="A214"/>
      <c r="B214"/>
      <c r="C214"/>
      <c r="D214"/>
      <c r="E214" s="7"/>
      <c r="F214"/>
      <c r="G214"/>
      <c r="H214" s="10"/>
      <c r="I214" s="10"/>
      <c r="J214" s="27"/>
      <c r="K214" s="27"/>
      <c r="L214" s="7"/>
      <c r="M214" s="51"/>
    </row>
    <row r="215" spans="1:13" x14ac:dyDescent="0.2">
      <c r="A215"/>
      <c r="B215"/>
      <c r="C215"/>
      <c r="D215"/>
      <c r="E215" s="7"/>
      <c r="F215"/>
      <c r="G215"/>
      <c r="H215" s="10"/>
      <c r="I215" s="10"/>
      <c r="J215" s="27"/>
      <c r="K215" s="27"/>
      <c r="L215" s="7"/>
      <c r="M215" s="51"/>
    </row>
    <row r="216" spans="1:13" x14ac:dyDescent="0.2">
      <c r="A216"/>
      <c r="B216"/>
      <c r="C216"/>
      <c r="D216"/>
      <c r="E216" s="7"/>
      <c r="F216"/>
      <c r="G216"/>
      <c r="H216" s="10"/>
      <c r="I216" s="10"/>
      <c r="J216" s="27"/>
      <c r="K216" s="27"/>
      <c r="L216" s="7"/>
      <c r="M216" s="51"/>
    </row>
    <row r="217" spans="1:13" x14ac:dyDescent="0.2">
      <c r="A217"/>
      <c r="B217"/>
      <c r="C217"/>
      <c r="D217"/>
      <c r="E217" s="7"/>
      <c r="F217"/>
      <c r="G217"/>
      <c r="H217" s="10"/>
      <c r="I217" s="10"/>
      <c r="J217" s="27"/>
      <c r="K217" s="27"/>
      <c r="L217" s="7"/>
      <c r="M217" s="51"/>
    </row>
    <row r="218" spans="1:13" x14ac:dyDescent="0.2">
      <c r="A218"/>
      <c r="B218"/>
      <c r="C218"/>
      <c r="D218"/>
      <c r="E218" s="7"/>
      <c r="F218"/>
      <c r="G218"/>
      <c r="H218" s="10"/>
      <c r="I218" s="10"/>
      <c r="J218" s="27"/>
      <c r="K218" s="27"/>
      <c r="L218" s="7"/>
      <c r="M218" s="51"/>
    </row>
    <row r="219" spans="1:13" x14ac:dyDescent="0.2">
      <c r="A219"/>
      <c r="B219"/>
      <c r="C219"/>
      <c r="D219"/>
      <c r="E219" s="7"/>
      <c r="F219"/>
      <c r="G219"/>
      <c r="H219" s="10"/>
      <c r="I219" s="10"/>
      <c r="J219" s="27"/>
      <c r="K219" s="27"/>
      <c r="L219" s="7"/>
      <c r="M219" s="51"/>
    </row>
    <row r="220" spans="1:13" x14ac:dyDescent="0.2">
      <c r="A220"/>
      <c r="B220"/>
      <c r="C220"/>
      <c r="D220"/>
      <c r="E220" s="7"/>
      <c r="F220"/>
      <c r="G220"/>
      <c r="H220" s="10"/>
      <c r="I220" s="10"/>
      <c r="J220" s="27"/>
      <c r="K220" s="27"/>
      <c r="L220" s="7"/>
      <c r="M220" s="51"/>
    </row>
    <row r="221" spans="1:13" x14ac:dyDescent="0.2">
      <c r="A221"/>
      <c r="B221"/>
      <c r="C221"/>
      <c r="D221"/>
      <c r="E221" s="7"/>
      <c r="F221"/>
      <c r="G221"/>
      <c r="H221" s="10"/>
      <c r="I221" s="10"/>
      <c r="J221" s="27"/>
      <c r="K221" s="27"/>
      <c r="L221" s="7"/>
      <c r="M221" s="51"/>
    </row>
    <row r="222" spans="1:13" x14ac:dyDescent="0.2">
      <c r="A222"/>
      <c r="B222"/>
      <c r="C222"/>
      <c r="D222"/>
      <c r="E222" s="7"/>
      <c r="F222"/>
      <c r="G222"/>
      <c r="H222" s="10"/>
      <c r="I222" s="10"/>
      <c r="J222" s="27"/>
      <c r="K222" s="27"/>
      <c r="L222" s="7"/>
      <c r="M222" s="51"/>
    </row>
    <row r="223" spans="1:13" x14ac:dyDescent="0.2">
      <c r="A223"/>
      <c r="B223"/>
      <c r="C223"/>
      <c r="D223"/>
      <c r="E223" s="7"/>
      <c r="F223"/>
      <c r="G223"/>
      <c r="H223" s="10"/>
      <c r="I223" s="10"/>
      <c r="J223" s="27"/>
      <c r="K223" s="27"/>
      <c r="L223" s="7"/>
      <c r="M223" s="51"/>
    </row>
    <row r="224" spans="1:13" x14ac:dyDescent="0.2">
      <c r="A224"/>
      <c r="B224"/>
      <c r="C224"/>
      <c r="D224"/>
      <c r="E224" s="7"/>
      <c r="F224"/>
      <c r="G224"/>
      <c r="H224" s="10"/>
      <c r="I224" s="10"/>
      <c r="J224" s="27"/>
      <c r="K224" s="27"/>
      <c r="L224" s="7"/>
      <c r="M224" s="51"/>
    </row>
    <row r="225" spans="1:13" x14ac:dyDescent="0.2">
      <c r="A225"/>
      <c r="B225"/>
      <c r="C225"/>
      <c r="D225"/>
      <c r="E225" s="7"/>
      <c r="F225"/>
      <c r="G225"/>
      <c r="H225" s="10"/>
      <c r="I225" s="10"/>
      <c r="J225" s="27"/>
      <c r="K225" s="27"/>
      <c r="L225" s="7"/>
      <c r="M225" s="51"/>
    </row>
    <row r="226" spans="1:13" x14ac:dyDescent="0.2">
      <c r="A226"/>
      <c r="B226"/>
      <c r="C226"/>
      <c r="D226"/>
      <c r="E226" s="7"/>
      <c r="F226"/>
      <c r="G226"/>
      <c r="H226" s="10"/>
      <c r="I226" s="10"/>
      <c r="J226" s="27"/>
      <c r="K226" s="27"/>
      <c r="L226" s="7"/>
      <c r="M226" s="51"/>
    </row>
    <row r="227" spans="1:13" x14ac:dyDescent="0.2">
      <c r="A227"/>
      <c r="B227"/>
      <c r="C227"/>
      <c r="D227"/>
      <c r="E227" s="7"/>
      <c r="F227"/>
      <c r="G227"/>
      <c r="H227" s="10"/>
      <c r="I227" s="10"/>
      <c r="J227" s="27"/>
      <c r="K227" s="27"/>
      <c r="L227" s="7"/>
      <c r="M227" s="51"/>
    </row>
    <row r="228" spans="1:13" x14ac:dyDescent="0.2">
      <c r="A228"/>
      <c r="B228"/>
      <c r="C228"/>
      <c r="D228"/>
      <c r="E228" s="7"/>
      <c r="F228"/>
      <c r="G228"/>
      <c r="H228" s="10"/>
      <c r="I228" s="10"/>
      <c r="J228" s="27"/>
      <c r="K228" s="27"/>
      <c r="L228" s="7"/>
      <c r="M228" s="51"/>
    </row>
    <row r="229" spans="1:13" x14ac:dyDescent="0.2">
      <c r="A229"/>
      <c r="B229"/>
      <c r="C229"/>
      <c r="D229"/>
      <c r="E229" s="7"/>
      <c r="F229"/>
      <c r="G229"/>
      <c r="H229" s="10"/>
      <c r="I229" s="10"/>
      <c r="J229" s="27"/>
      <c r="K229" s="27"/>
      <c r="L229" s="7"/>
      <c r="M229" s="51"/>
    </row>
    <row r="230" spans="1:13" x14ac:dyDescent="0.2">
      <c r="A230"/>
      <c r="B230"/>
      <c r="C230"/>
      <c r="D230"/>
      <c r="E230" s="7"/>
      <c r="F230"/>
      <c r="G230"/>
      <c r="H230" s="10"/>
      <c r="I230" s="10"/>
      <c r="J230" s="27"/>
      <c r="K230" s="27"/>
      <c r="L230" s="7"/>
      <c r="M230" s="51"/>
    </row>
    <row r="231" spans="1:13" x14ac:dyDescent="0.2">
      <c r="A231"/>
      <c r="B231"/>
      <c r="C231"/>
      <c r="D231"/>
      <c r="E231" s="7"/>
      <c r="F231"/>
      <c r="G231"/>
      <c r="H231" s="10"/>
      <c r="I231" s="10"/>
      <c r="J231" s="27"/>
      <c r="K231" s="27"/>
      <c r="L231" s="7"/>
      <c r="M231" s="51"/>
    </row>
    <row r="232" spans="1:13" x14ac:dyDescent="0.2">
      <c r="A232"/>
      <c r="B232"/>
      <c r="C232"/>
      <c r="D232"/>
      <c r="E232" s="7"/>
      <c r="F232"/>
      <c r="G232"/>
      <c r="H232" s="10"/>
      <c r="I232" s="10"/>
      <c r="J232" s="27"/>
      <c r="K232" s="27"/>
      <c r="L232" s="7"/>
      <c r="M232" s="51"/>
    </row>
    <row r="233" spans="1:13" x14ac:dyDescent="0.2">
      <c r="A233"/>
      <c r="B233"/>
      <c r="C233"/>
      <c r="D233"/>
      <c r="E233" s="7"/>
      <c r="F233"/>
      <c r="G233"/>
      <c r="H233" s="10"/>
      <c r="I233" s="10"/>
      <c r="J233" s="27"/>
      <c r="K233" s="27"/>
      <c r="L233" s="7"/>
      <c r="M233" s="51"/>
    </row>
    <row r="234" spans="1:13" x14ac:dyDescent="0.2">
      <c r="A234"/>
      <c r="B234"/>
      <c r="C234"/>
      <c r="D234"/>
      <c r="E234" s="7"/>
      <c r="F234"/>
      <c r="G234"/>
      <c r="H234" s="10"/>
      <c r="I234" s="10"/>
      <c r="J234" s="27"/>
      <c r="K234" s="27"/>
      <c r="L234" s="7"/>
      <c r="M234" s="51"/>
    </row>
    <row r="235" spans="1:13" x14ac:dyDescent="0.2">
      <c r="A235"/>
      <c r="B235"/>
      <c r="C235"/>
      <c r="D235"/>
      <c r="E235" s="7"/>
      <c r="F235"/>
      <c r="G235"/>
      <c r="H235" s="10"/>
      <c r="I235" s="10"/>
      <c r="J235" s="27"/>
      <c r="K235" s="27"/>
      <c r="L235" s="7"/>
      <c r="M235" s="51"/>
    </row>
    <row r="236" spans="1:13" x14ac:dyDescent="0.2">
      <c r="A236"/>
      <c r="B236"/>
      <c r="C236"/>
      <c r="D236"/>
      <c r="E236" s="7"/>
      <c r="F236"/>
      <c r="G236"/>
      <c r="H236" s="10"/>
      <c r="I236" s="10"/>
      <c r="J236" s="27"/>
      <c r="K236" s="27"/>
      <c r="L236" s="7"/>
      <c r="M236" s="51"/>
    </row>
    <row r="237" spans="1:13" x14ac:dyDescent="0.2">
      <c r="A237"/>
      <c r="B237"/>
      <c r="C237"/>
      <c r="D237"/>
      <c r="E237" s="7"/>
      <c r="F237"/>
      <c r="G237"/>
      <c r="H237" s="10"/>
      <c r="I237" s="10"/>
      <c r="J237" s="27"/>
      <c r="K237" s="27"/>
      <c r="L237" s="7"/>
      <c r="M237" s="51"/>
    </row>
    <row r="238" spans="1:13" x14ac:dyDescent="0.2">
      <c r="A238"/>
      <c r="B238"/>
      <c r="C238"/>
      <c r="D238"/>
      <c r="E238" s="7"/>
      <c r="F238"/>
      <c r="G238"/>
      <c r="H238" s="10"/>
      <c r="I238" s="10"/>
      <c r="J238" s="27"/>
      <c r="K238" s="27"/>
      <c r="L238" s="7"/>
      <c r="M238" s="51"/>
    </row>
    <row r="239" spans="1:13" x14ac:dyDescent="0.2">
      <c r="A239"/>
      <c r="B239"/>
      <c r="C239"/>
      <c r="D239"/>
      <c r="E239" s="7"/>
      <c r="F239"/>
      <c r="G239"/>
      <c r="H239" s="10"/>
      <c r="I239" s="10"/>
      <c r="J239" s="27"/>
      <c r="K239" s="27"/>
      <c r="L239" s="7"/>
      <c r="M239" s="51"/>
    </row>
  </sheetData>
  <autoFilter ref="A1:M239"/>
  <pageMargins left="0.75" right="0.75" top="1" bottom="1" header="0.5" footer="0.5"/>
  <pageSetup scale="7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237"/>
  <sheetViews>
    <sheetView zoomScale="120" zoomScaleNormal="120" workbookViewId="0">
      <pane ySplit="1" topLeftCell="A35" activePane="bottomLeft" state="frozen"/>
      <selection activeCell="L2" sqref="L2"/>
      <selection pane="bottomLeft" activeCell="L52" sqref="L52"/>
    </sheetView>
  </sheetViews>
  <sheetFormatPr defaultColWidth="9.140625" defaultRowHeight="12.75" x14ac:dyDescent="0.2"/>
  <cols>
    <col min="1" max="1" width="10.140625" style="3" customWidth="1"/>
    <col min="2" max="2" width="25.7109375" style="3" customWidth="1"/>
    <col min="3" max="3" width="9.85546875" style="3" bestFit="1" customWidth="1"/>
    <col min="4" max="4" width="13.7109375" style="3" customWidth="1"/>
    <col min="5" max="5" width="11.42578125" style="8" customWidth="1"/>
    <col min="6" max="7" width="8" style="3" customWidth="1"/>
    <col min="8" max="8" width="8" style="11" customWidth="1"/>
    <col min="9" max="9" width="10.5703125" style="11" customWidth="1"/>
    <col min="10" max="10" width="15.28515625" style="11" customWidth="1"/>
    <col min="11" max="11" width="9.140625" style="11" customWidth="1"/>
    <col min="12" max="12" width="8" style="11" customWidth="1"/>
    <col min="13" max="13" width="116.28515625" style="82" customWidth="1"/>
    <col min="14" max="14" width="27.85546875" style="14" bestFit="1" customWidth="1"/>
    <col min="15" max="16384" width="9.140625" style="3"/>
  </cols>
  <sheetData>
    <row r="1" spans="1:14" s="1" customFormat="1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1" t="s">
        <v>5</v>
      </c>
      <c r="G1" s="1" t="s">
        <v>6</v>
      </c>
      <c r="H1" s="9" t="s">
        <v>7</v>
      </c>
      <c r="I1" s="30" t="s">
        <v>8</v>
      </c>
      <c r="J1" s="30" t="s">
        <v>9</v>
      </c>
      <c r="K1" s="16" t="s">
        <v>10</v>
      </c>
      <c r="L1" s="16" t="s">
        <v>11</v>
      </c>
      <c r="M1" s="77" t="s">
        <v>12</v>
      </c>
      <c r="N1" s="13"/>
    </row>
    <row r="2" spans="1:14" x14ac:dyDescent="0.2">
      <c r="A2" s="18" t="s">
        <v>161</v>
      </c>
      <c r="B2" t="s">
        <v>139</v>
      </c>
      <c r="C2" s="5">
        <v>43510</v>
      </c>
      <c r="D2" s="2" t="s">
        <v>44</v>
      </c>
      <c r="E2" s="7">
        <v>14812</v>
      </c>
      <c r="F2"/>
      <c r="G2"/>
      <c r="H2" s="19">
        <f>-0.25-0.945</f>
        <v>-1.1949999999999998</v>
      </c>
      <c r="I2" s="33">
        <v>141</v>
      </c>
      <c r="J2" s="14">
        <v>140.5</v>
      </c>
      <c r="K2" s="24">
        <f>J2-I2</f>
        <v>-0.5</v>
      </c>
      <c r="L2" s="47">
        <f>-(941-36)</f>
        <v>-905</v>
      </c>
      <c r="M2" s="2" t="s">
        <v>45</v>
      </c>
      <c r="N2" s="3"/>
    </row>
    <row r="3" spans="1:14" x14ac:dyDescent="0.2">
      <c r="A3" s="18" t="s">
        <v>161</v>
      </c>
      <c r="B3" t="s">
        <v>139</v>
      </c>
      <c r="C3" s="5">
        <v>43510</v>
      </c>
      <c r="D3" s="2" t="s">
        <v>46</v>
      </c>
      <c r="E3" s="7">
        <v>13390036</v>
      </c>
      <c r="F3"/>
      <c r="G3"/>
      <c r="H3" s="10">
        <f>-0.81-0.105</f>
        <v>-0.91500000000000004</v>
      </c>
      <c r="I3" s="10"/>
      <c r="J3" s="10"/>
      <c r="K3" s="10"/>
      <c r="L3" s="10"/>
      <c r="M3" s="51" t="s">
        <v>47</v>
      </c>
    </row>
    <row r="4" spans="1:14" x14ac:dyDescent="0.2">
      <c r="A4" s="18" t="s">
        <v>161</v>
      </c>
      <c r="B4" t="s">
        <v>139</v>
      </c>
      <c r="C4" s="5">
        <v>43510</v>
      </c>
      <c r="D4" s="2" t="s">
        <v>19</v>
      </c>
      <c r="E4" s="12">
        <v>2108</v>
      </c>
      <c r="F4"/>
      <c r="G4"/>
      <c r="H4" s="10"/>
      <c r="I4" s="10"/>
      <c r="J4" s="10"/>
      <c r="K4" s="10"/>
      <c r="L4" s="10"/>
      <c r="M4" s="51"/>
    </row>
    <row r="5" spans="1:14" x14ac:dyDescent="0.2">
      <c r="A5" s="18" t="s">
        <v>161</v>
      </c>
      <c r="B5" t="s">
        <v>139</v>
      </c>
      <c r="C5" s="5">
        <v>43510</v>
      </c>
      <c r="D5" s="2" t="s">
        <v>20</v>
      </c>
      <c r="E5" s="12"/>
      <c r="F5"/>
      <c r="G5"/>
      <c r="H5" s="10">
        <v>-0.35</v>
      </c>
      <c r="I5" s="10"/>
      <c r="J5" s="10"/>
      <c r="K5" s="10"/>
      <c r="L5" s="10"/>
      <c r="M5" s="51"/>
    </row>
    <row r="6" spans="1:14" x14ac:dyDescent="0.2">
      <c r="A6" s="18" t="s">
        <v>161</v>
      </c>
      <c r="B6" t="s">
        <v>139</v>
      </c>
      <c r="C6" s="5">
        <v>43510</v>
      </c>
      <c r="D6" s="2" t="s">
        <v>21</v>
      </c>
      <c r="E6" s="12"/>
      <c r="F6">
        <v>156271</v>
      </c>
      <c r="G6">
        <v>517445</v>
      </c>
      <c r="H6" s="10">
        <v>1.58</v>
      </c>
      <c r="I6" s="10"/>
      <c r="J6" s="10"/>
      <c r="K6" s="10"/>
      <c r="L6" s="10"/>
      <c r="M6" s="81"/>
    </row>
    <row r="7" spans="1:14" x14ac:dyDescent="0.2">
      <c r="A7" s="18" t="s">
        <v>161</v>
      </c>
      <c r="B7" t="s">
        <v>139</v>
      </c>
      <c r="C7" s="5">
        <v>43523</v>
      </c>
      <c r="D7" s="2" t="s">
        <v>21</v>
      </c>
      <c r="E7" s="7"/>
      <c r="F7">
        <v>156271</v>
      </c>
      <c r="G7">
        <v>517445</v>
      </c>
      <c r="H7" s="10">
        <v>1.58</v>
      </c>
      <c r="I7" s="10"/>
      <c r="J7" s="10"/>
      <c r="K7" s="10"/>
      <c r="L7" s="10"/>
      <c r="M7" s="81"/>
    </row>
    <row r="8" spans="1:14" x14ac:dyDescent="0.2">
      <c r="A8" s="18" t="s">
        <v>161</v>
      </c>
      <c r="B8" t="s">
        <v>139</v>
      </c>
      <c r="C8" s="5">
        <v>43523</v>
      </c>
      <c r="D8" s="2" t="s">
        <v>23</v>
      </c>
      <c r="E8" s="7"/>
      <c r="F8"/>
      <c r="G8"/>
      <c r="H8" s="10">
        <v>-1.32</v>
      </c>
      <c r="I8" s="10"/>
      <c r="J8" s="10"/>
      <c r="K8" s="10"/>
      <c r="L8" s="10"/>
      <c r="M8" s="51" t="s">
        <v>50</v>
      </c>
    </row>
    <row r="9" spans="1:14" x14ac:dyDescent="0.2">
      <c r="A9" s="18" t="s">
        <v>161</v>
      </c>
      <c r="B9" t="s">
        <v>139</v>
      </c>
      <c r="C9" s="43">
        <v>43551</v>
      </c>
      <c r="D9" s="2" t="s">
        <v>44</v>
      </c>
      <c r="E9" s="7">
        <v>14812</v>
      </c>
      <c r="F9"/>
      <c r="G9"/>
      <c r="H9" s="10">
        <f>-0.2559-0.945</f>
        <v>-1.2008999999999999</v>
      </c>
      <c r="I9" s="33">
        <v>141</v>
      </c>
      <c r="J9" s="14">
        <v>140.5</v>
      </c>
      <c r="K9" s="24">
        <f>J9-I9</f>
        <v>-0.5</v>
      </c>
      <c r="L9" s="47">
        <f>-(941-36)</f>
        <v>-905</v>
      </c>
      <c r="M9" s="51"/>
    </row>
    <row r="10" spans="1:14" x14ac:dyDescent="0.2">
      <c r="A10" s="18" t="s">
        <v>161</v>
      </c>
      <c r="B10" t="s">
        <v>139</v>
      </c>
      <c r="C10" s="43">
        <v>43551</v>
      </c>
      <c r="D10" s="2" t="s">
        <v>46</v>
      </c>
      <c r="E10" s="7">
        <v>13390036</v>
      </c>
      <c r="F10"/>
      <c r="G10"/>
      <c r="H10" s="10">
        <f>-0.7772-0.105</f>
        <v>-0.88219999999999998</v>
      </c>
      <c r="I10" s="10"/>
      <c r="J10" s="10"/>
      <c r="K10" s="10"/>
      <c r="L10" s="10"/>
      <c r="M10" s="51"/>
    </row>
    <row r="11" spans="1:14" x14ac:dyDescent="0.2">
      <c r="A11" s="18" t="s">
        <v>161</v>
      </c>
      <c r="B11" t="s">
        <v>139</v>
      </c>
      <c r="C11" s="43">
        <v>43551</v>
      </c>
      <c r="D11" s="2" t="s">
        <v>23</v>
      </c>
      <c r="E11" s="7"/>
      <c r="F11"/>
      <c r="G11"/>
      <c r="H11" s="10">
        <v>-1.4277</v>
      </c>
      <c r="I11" s="10"/>
      <c r="J11" s="10"/>
      <c r="K11" s="10"/>
      <c r="L11" s="10"/>
      <c r="M11" s="51"/>
    </row>
    <row r="12" spans="1:14" x14ac:dyDescent="0.2">
      <c r="A12" s="18" t="s">
        <v>161</v>
      </c>
      <c r="B12" t="s">
        <v>139</v>
      </c>
      <c r="C12" s="43">
        <v>43551</v>
      </c>
      <c r="D12" s="2" t="s">
        <v>21</v>
      </c>
      <c r="E12" s="7"/>
      <c r="F12">
        <v>156271</v>
      </c>
      <c r="G12">
        <v>517445</v>
      </c>
      <c r="H12" s="10">
        <v>1.5984</v>
      </c>
      <c r="I12" s="10"/>
      <c r="J12" s="10"/>
      <c r="K12" s="10"/>
      <c r="L12" s="10"/>
      <c r="M12" s="51"/>
    </row>
    <row r="13" spans="1:14" x14ac:dyDescent="0.2">
      <c r="A13" s="18" t="s">
        <v>161</v>
      </c>
      <c r="B13" t="s">
        <v>139</v>
      </c>
      <c r="C13" s="43">
        <v>43570</v>
      </c>
      <c r="D13" s="2" t="s">
        <v>44</v>
      </c>
      <c r="E13" s="7">
        <v>14812</v>
      </c>
      <c r="F13"/>
      <c r="G13"/>
      <c r="H13" s="10">
        <f>-0.2823-0.945</f>
        <v>-1.2273000000000001</v>
      </c>
      <c r="I13" s="33">
        <v>141</v>
      </c>
      <c r="J13" s="14">
        <v>140.5</v>
      </c>
      <c r="K13" s="24">
        <f>J13-I13</f>
        <v>-0.5</v>
      </c>
      <c r="L13" s="47">
        <f>-(941-36)</f>
        <v>-905</v>
      </c>
      <c r="M13" s="51"/>
    </row>
    <row r="14" spans="1:14" x14ac:dyDescent="0.2">
      <c r="A14" s="18" t="s">
        <v>161</v>
      </c>
      <c r="B14" t="s">
        <v>139</v>
      </c>
      <c r="C14" s="43">
        <v>43570</v>
      </c>
      <c r="D14" s="2" t="s">
        <v>46</v>
      </c>
      <c r="E14" s="7">
        <v>13390036</v>
      </c>
      <c r="F14"/>
      <c r="G14"/>
      <c r="H14" s="10">
        <f>-0.8366-0.105</f>
        <v>-0.94159999999999999</v>
      </c>
      <c r="I14" s="10"/>
      <c r="J14" s="10"/>
      <c r="K14" s="10"/>
      <c r="L14" s="10"/>
      <c r="M14" s="51"/>
    </row>
    <row r="15" spans="1:14" x14ac:dyDescent="0.2">
      <c r="A15" s="18" t="s">
        <v>161</v>
      </c>
      <c r="B15" t="s">
        <v>139</v>
      </c>
      <c r="C15" s="43">
        <v>43570</v>
      </c>
      <c r="D15" s="2" t="s">
        <v>23</v>
      </c>
      <c r="E15" s="7"/>
      <c r="F15"/>
      <c r="G15"/>
      <c r="H15" s="10">
        <v>-1.2915000000000001</v>
      </c>
      <c r="I15" s="10"/>
      <c r="J15" s="10"/>
      <c r="K15" s="10"/>
      <c r="L15" s="10"/>
      <c r="M15" s="51"/>
    </row>
    <row r="16" spans="1:14" x14ac:dyDescent="0.2">
      <c r="A16" s="18" t="s">
        <v>161</v>
      </c>
      <c r="B16" t="s">
        <v>139</v>
      </c>
      <c r="C16" s="43">
        <v>43570</v>
      </c>
      <c r="D16" s="2" t="s">
        <v>21</v>
      </c>
      <c r="E16" s="7"/>
      <c r="F16">
        <v>156271</v>
      </c>
      <c r="G16">
        <v>517445</v>
      </c>
      <c r="H16" s="10">
        <v>1.5909</v>
      </c>
      <c r="I16" s="10"/>
      <c r="J16" s="10"/>
      <c r="K16" s="10"/>
      <c r="L16" s="10"/>
      <c r="M16" s="51"/>
    </row>
    <row r="17" spans="1:13" x14ac:dyDescent="0.2">
      <c r="A17" s="18" t="s">
        <v>161</v>
      </c>
      <c r="B17" t="s">
        <v>139</v>
      </c>
      <c r="C17" s="43">
        <v>43606</v>
      </c>
      <c r="D17" s="2" t="s">
        <v>44</v>
      </c>
      <c r="E17" s="7">
        <v>14812</v>
      </c>
      <c r="F17"/>
      <c r="G17"/>
      <c r="H17" s="72">
        <f>-0.2618-0.945</f>
        <v>-1.2067999999999999</v>
      </c>
      <c r="I17" s="33">
        <v>141</v>
      </c>
      <c r="J17" s="14">
        <v>140.5</v>
      </c>
      <c r="K17" s="24">
        <f>J17-I17</f>
        <v>-0.5</v>
      </c>
      <c r="L17" s="47">
        <f>-(941-36)</f>
        <v>-905</v>
      </c>
      <c r="M17" s="51"/>
    </row>
    <row r="18" spans="1:13" x14ac:dyDescent="0.2">
      <c r="A18" s="18" t="s">
        <v>161</v>
      </c>
      <c r="B18" t="s">
        <v>139</v>
      </c>
      <c r="C18" s="43">
        <v>43606</v>
      </c>
      <c r="D18" s="2" t="s">
        <v>23</v>
      </c>
      <c r="E18" s="7"/>
      <c r="F18"/>
      <c r="G18"/>
      <c r="H18" s="70">
        <v>-1.1194999999999999</v>
      </c>
      <c r="I18" s="10"/>
      <c r="J18" s="10"/>
      <c r="K18" s="10"/>
      <c r="L18" s="10"/>
      <c r="M18" s="51"/>
    </row>
    <row r="19" spans="1:13" x14ac:dyDescent="0.2">
      <c r="A19" s="18" t="s">
        <v>161</v>
      </c>
      <c r="B19" t="s">
        <v>139</v>
      </c>
      <c r="C19" s="43">
        <v>43606</v>
      </c>
      <c r="D19" s="2" t="s">
        <v>21</v>
      </c>
      <c r="E19" s="7"/>
      <c r="F19">
        <v>156271</v>
      </c>
      <c r="G19">
        <v>517445</v>
      </c>
      <c r="H19" s="10">
        <v>1.6125</v>
      </c>
      <c r="I19" s="10"/>
      <c r="J19" s="10"/>
      <c r="K19" s="10"/>
      <c r="L19" s="10"/>
      <c r="M19" s="51" t="s">
        <v>29</v>
      </c>
    </row>
    <row r="20" spans="1:13" x14ac:dyDescent="0.2">
      <c r="A20" s="18" t="s">
        <v>161</v>
      </c>
      <c r="B20" t="s">
        <v>139</v>
      </c>
      <c r="C20" s="43">
        <v>43634</v>
      </c>
      <c r="D20" s="2" t="s">
        <v>44</v>
      </c>
      <c r="E20" s="7">
        <v>14812</v>
      </c>
      <c r="F20"/>
      <c r="G20"/>
      <c r="H20" s="10">
        <f>H17+0.4</f>
        <v>-0.80679999999999985</v>
      </c>
      <c r="I20" s="33">
        <v>141</v>
      </c>
      <c r="J20" s="14">
        <v>140.5</v>
      </c>
      <c r="K20" s="24">
        <f>J20-I20</f>
        <v>-0.5</v>
      </c>
      <c r="L20" s="47">
        <f>-(941-36)</f>
        <v>-905</v>
      </c>
      <c r="M20" s="51" t="s">
        <v>162</v>
      </c>
    </row>
    <row r="21" spans="1:13" x14ac:dyDescent="0.2">
      <c r="A21" s="18" t="s">
        <v>161</v>
      </c>
      <c r="B21" t="s">
        <v>139</v>
      </c>
      <c r="C21" s="43">
        <v>43634</v>
      </c>
      <c r="D21" s="2" t="s">
        <v>46</v>
      </c>
      <c r="E21" s="7">
        <v>13390036</v>
      </c>
      <c r="F21"/>
      <c r="G21"/>
      <c r="H21" s="10">
        <f>H14+0.4</f>
        <v>-0.54159999999999997</v>
      </c>
      <c r="I21" s="10"/>
      <c r="J21" s="10"/>
      <c r="K21" s="10"/>
      <c r="L21" s="10"/>
      <c r="M21" s="51"/>
    </row>
    <row r="22" spans="1:13" x14ac:dyDescent="0.2">
      <c r="A22" s="18" t="s">
        <v>161</v>
      </c>
      <c r="B22" t="s">
        <v>139</v>
      </c>
      <c r="C22" s="43">
        <v>43634</v>
      </c>
      <c r="D22" s="2" t="s">
        <v>23</v>
      </c>
      <c r="E22" s="7"/>
      <c r="F22"/>
      <c r="G22"/>
      <c r="H22" s="10">
        <v>-0.98909999999999998</v>
      </c>
      <c r="I22" s="10"/>
      <c r="J22" s="10"/>
      <c r="K22" s="10"/>
      <c r="L22" s="10"/>
      <c r="M22" s="51"/>
    </row>
    <row r="23" spans="1:13" x14ac:dyDescent="0.2">
      <c r="A23" s="18" t="s">
        <v>161</v>
      </c>
      <c r="B23" t="s">
        <v>139</v>
      </c>
      <c r="C23" s="43">
        <v>43634</v>
      </c>
      <c r="D23" s="2" t="s">
        <v>21</v>
      </c>
      <c r="E23" s="7"/>
      <c r="F23">
        <v>156271</v>
      </c>
      <c r="G23">
        <v>517445</v>
      </c>
      <c r="H23" s="10">
        <v>1.6125</v>
      </c>
      <c r="I23" s="10"/>
      <c r="J23" s="10"/>
      <c r="K23" s="10"/>
      <c r="L23" s="10"/>
      <c r="M23" s="46">
        <v>1.5968</v>
      </c>
    </row>
    <row r="24" spans="1:13" x14ac:dyDescent="0.2">
      <c r="A24" s="18" t="s">
        <v>161</v>
      </c>
      <c r="B24" t="s">
        <v>139</v>
      </c>
      <c r="C24" s="43">
        <v>43663</v>
      </c>
      <c r="D24" s="2" t="s">
        <v>44</v>
      </c>
      <c r="E24" s="7">
        <v>14812</v>
      </c>
      <c r="F24"/>
      <c r="G24"/>
      <c r="H24" s="10">
        <v>-0.80679999999999985</v>
      </c>
      <c r="I24" s="33">
        <v>141</v>
      </c>
      <c r="J24" s="14">
        <v>140.5</v>
      </c>
      <c r="K24" s="24">
        <f>J24-I24</f>
        <v>-0.5</v>
      </c>
      <c r="L24" s="47">
        <f>-(941-36)</f>
        <v>-905</v>
      </c>
      <c r="M24" s="46">
        <f>H20</f>
        <v>-0.80679999999999985</v>
      </c>
    </row>
    <row r="25" spans="1:13" x14ac:dyDescent="0.2">
      <c r="A25" s="18" t="s">
        <v>161</v>
      </c>
      <c r="B25" t="s">
        <v>139</v>
      </c>
      <c r="C25" s="43">
        <v>43663</v>
      </c>
      <c r="D25" s="2" t="s">
        <v>46</v>
      </c>
      <c r="E25" s="7">
        <v>13390036</v>
      </c>
      <c r="F25"/>
      <c r="G25"/>
      <c r="H25" s="10">
        <v>-0.54159999999999997</v>
      </c>
      <c r="I25" s="10"/>
      <c r="J25" s="10"/>
      <c r="K25" s="10"/>
      <c r="L25" s="10"/>
      <c r="M25" s="46">
        <f>-0.411-0.105</f>
        <v>-0.51600000000000001</v>
      </c>
    </row>
    <row r="26" spans="1:13" x14ac:dyDescent="0.2">
      <c r="A26" s="18" t="s">
        <v>161</v>
      </c>
      <c r="B26" t="s">
        <v>139</v>
      </c>
      <c r="C26" s="43">
        <v>43663</v>
      </c>
      <c r="D26" s="2" t="s">
        <v>23</v>
      </c>
      <c r="E26" s="7"/>
      <c r="F26"/>
      <c r="G26"/>
      <c r="H26" s="10">
        <v>-0.98909999999999998</v>
      </c>
      <c r="I26" s="10"/>
      <c r="J26" s="10"/>
      <c r="K26" s="10"/>
      <c r="L26" s="10"/>
      <c r="M26" s="46">
        <v>-1.0125</v>
      </c>
    </row>
    <row r="27" spans="1:13" x14ac:dyDescent="0.2">
      <c r="A27" s="18" t="s">
        <v>161</v>
      </c>
      <c r="B27" t="s">
        <v>139</v>
      </c>
      <c r="C27" s="43">
        <v>43663</v>
      </c>
      <c r="D27" s="2" t="s">
        <v>21</v>
      </c>
      <c r="E27" s="7"/>
      <c r="F27">
        <v>156271</v>
      </c>
      <c r="G27">
        <v>517445</v>
      </c>
      <c r="H27" s="10">
        <v>1.6125</v>
      </c>
      <c r="I27" s="10"/>
      <c r="J27" s="10"/>
      <c r="K27" s="10"/>
      <c r="L27" s="10"/>
      <c r="M27" s="46">
        <v>1.5843</v>
      </c>
    </row>
    <row r="28" spans="1:13" x14ac:dyDescent="0.2">
      <c r="A28" s="18" t="s">
        <v>161</v>
      </c>
      <c r="B28" t="s">
        <v>139</v>
      </c>
      <c r="C28" s="43">
        <v>43689</v>
      </c>
      <c r="D28" s="2" t="s">
        <v>44</v>
      </c>
      <c r="E28" s="7">
        <v>14812</v>
      </c>
      <c r="F28"/>
      <c r="G28"/>
      <c r="H28" s="10">
        <v>-0.80679999999999985</v>
      </c>
      <c r="I28" s="33">
        <v>141</v>
      </c>
      <c r="J28" s="14">
        <v>140.5</v>
      </c>
      <c r="K28" s="24">
        <f>J28-I28</f>
        <v>-0.5</v>
      </c>
      <c r="L28" s="47">
        <f>-(941-36)</f>
        <v>-905</v>
      </c>
      <c r="M28" s="46">
        <f>H24</f>
        <v>-0.80679999999999985</v>
      </c>
    </row>
    <row r="29" spans="1:13" x14ac:dyDescent="0.2">
      <c r="A29" s="18" t="s">
        <v>161</v>
      </c>
      <c r="B29" t="s">
        <v>139</v>
      </c>
      <c r="C29" s="43">
        <v>43689</v>
      </c>
      <c r="D29" s="2" t="s">
        <v>46</v>
      </c>
      <c r="E29" s="7">
        <v>13390036</v>
      </c>
      <c r="F29"/>
      <c r="G29"/>
      <c r="H29" s="10">
        <v>-0.54159999999999997</v>
      </c>
      <c r="I29" s="10"/>
      <c r="J29" s="10"/>
      <c r="K29" s="10"/>
      <c r="L29" s="10"/>
      <c r="M29" s="46">
        <f>-0.411-0.105</f>
        <v>-0.51600000000000001</v>
      </c>
    </row>
    <row r="30" spans="1:13" x14ac:dyDescent="0.2">
      <c r="A30" s="18" t="s">
        <v>161</v>
      </c>
      <c r="B30" t="s">
        <v>139</v>
      </c>
      <c r="C30" s="43">
        <v>43689</v>
      </c>
      <c r="D30" s="2" t="s">
        <v>23</v>
      </c>
      <c r="E30" s="7"/>
      <c r="F30"/>
      <c r="G30"/>
      <c r="H30" s="10">
        <v>-1.01</v>
      </c>
      <c r="I30" s="10"/>
      <c r="J30" s="10"/>
      <c r="K30" s="10"/>
      <c r="L30" s="10"/>
      <c r="M30" s="46">
        <v>-1.0125</v>
      </c>
    </row>
    <row r="31" spans="1:13" x14ac:dyDescent="0.2">
      <c r="A31" s="18" t="s">
        <v>161</v>
      </c>
      <c r="B31" t="s">
        <v>139</v>
      </c>
      <c r="C31" s="43">
        <v>43689</v>
      </c>
      <c r="D31" s="2" t="s">
        <v>21</v>
      </c>
      <c r="E31" s="7"/>
      <c r="F31">
        <v>156271</v>
      </c>
      <c r="G31">
        <v>517445</v>
      </c>
      <c r="H31" s="10">
        <v>1.6080000000000001</v>
      </c>
      <c r="I31" s="10"/>
      <c r="J31" s="10"/>
      <c r="K31" s="10"/>
      <c r="L31" s="10"/>
      <c r="M31" s="46">
        <v>1.5843</v>
      </c>
    </row>
    <row r="32" spans="1:13" x14ac:dyDescent="0.2">
      <c r="A32" s="18" t="s">
        <v>161</v>
      </c>
      <c r="B32" t="s">
        <v>139</v>
      </c>
      <c r="C32" s="43">
        <v>43718</v>
      </c>
      <c r="D32" s="2" t="s">
        <v>44</v>
      </c>
      <c r="E32" s="7">
        <v>14812</v>
      </c>
      <c r="F32"/>
      <c r="G32"/>
      <c r="H32" s="10">
        <v>-0.80679999999999985</v>
      </c>
      <c r="I32" s="33">
        <v>141</v>
      </c>
      <c r="J32" s="14">
        <v>140.5</v>
      </c>
      <c r="K32" s="24">
        <f>J32-I32</f>
        <v>-0.5</v>
      </c>
      <c r="L32" s="47">
        <f>-(941-36)</f>
        <v>-905</v>
      </c>
      <c r="M32" s="46">
        <f>0.1101-0.945</f>
        <v>-0.83489999999999998</v>
      </c>
    </row>
    <row r="33" spans="1:14" x14ac:dyDescent="0.2">
      <c r="A33" s="18" t="s">
        <v>161</v>
      </c>
      <c r="B33" t="s">
        <v>139</v>
      </c>
      <c r="C33" s="43">
        <v>43718</v>
      </c>
      <c r="D33" s="2" t="s">
        <v>46</v>
      </c>
      <c r="E33" s="7">
        <v>13390036</v>
      </c>
      <c r="F33"/>
      <c r="G33"/>
      <c r="H33" s="10">
        <v>-0.54159999999999997</v>
      </c>
      <c r="I33" s="10"/>
      <c r="J33" s="10"/>
      <c r="K33" s="10"/>
      <c r="L33" s="10"/>
      <c r="M33" s="46">
        <f>-0.4517-0.09</f>
        <v>-0.54169999999999996</v>
      </c>
    </row>
    <row r="34" spans="1:14" x14ac:dyDescent="0.2">
      <c r="A34" s="18" t="s">
        <v>161</v>
      </c>
      <c r="B34" t="s">
        <v>139</v>
      </c>
      <c r="C34" s="43">
        <v>43718</v>
      </c>
      <c r="D34" s="2" t="s">
        <v>23</v>
      </c>
      <c r="E34" s="7"/>
      <c r="F34"/>
      <c r="G34"/>
      <c r="H34" s="10">
        <v>-1.0085999999999999</v>
      </c>
      <c r="I34" s="10"/>
      <c r="J34" s="10"/>
      <c r="K34" s="10"/>
      <c r="L34" s="10"/>
      <c r="M34" s="46">
        <v>-1.0085999999999999</v>
      </c>
    </row>
    <row r="35" spans="1:14" s="126" customFormat="1" ht="13.5" thickBot="1" x14ac:dyDescent="0.25">
      <c r="A35" s="117" t="s">
        <v>161</v>
      </c>
      <c r="B35" s="118" t="s">
        <v>139</v>
      </c>
      <c r="C35" s="119">
        <v>43718</v>
      </c>
      <c r="D35" s="120" t="s">
        <v>21</v>
      </c>
      <c r="E35" s="121"/>
      <c r="F35" s="118">
        <v>156271</v>
      </c>
      <c r="G35" s="118">
        <v>517445</v>
      </c>
      <c r="H35" s="122">
        <v>1.5595000000000001</v>
      </c>
      <c r="I35" s="123"/>
      <c r="J35" s="123"/>
      <c r="K35" s="123"/>
      <c r="L35" s="123"/>
      <c r="M35" s="124">
        <v>1.5595000000000001</v>
      </c>
      <c r="N35" s="125"/>
    </row>
    <row r="36" spans="1:14" x14ac:dyDescent="0.2">
      <c r="A36" s="18" t="s">
        <v>161</v>
      </c>
      <c r="B36" t="s">
        <v>139</v>
      </c>
      <c r="C36" s="43">
        <v>43992</v>
      </c>
      <c r="D36" s="2" t="s">
        <v>44</v>
      </c>
      <c r="E36" s="7">
        <v>14812</v>
      </c>
      <c r="F36"/>
      <c r="G36"/>
      <c r="H36" s="37">
        <f>0.1414-0.945</f>
        <v>-0.80359999999999998</v>
      </c>
      <c r="I36" s="33">
        <v>141</v>
      </c>
      <c r="J36" s="14">
        <v>140.5</v>
      </c>
      <c r="K36" s="24">
        <f>J36-I36</f>
        <v>-0.5</v>
      </c>
      <c r="L36" s="93">
        <v>-870</v>
      </c>
      <c r="M36" s="46">
        <f>0.1414-0.945</f>
        <v>-0.80359999999999998</v>
      </c>
    </row>
    <row r="37" spans="1:14" x14ac:dyDescent="0.2">
      <c r="A37" s="18" t="s">
        <v>161</v>
      </c>
      <c r="B37" t="s">
        <v>139</v>
      </c>
      <c r="C37" s="43">
        <v>43992</v>
      </c>
      <c r="D37" s="2" t="s">
        <v>46</v>
      </c>
      <c r="E37" s="7">
        <v>13390036</v>
      </c>
      <c r="F37"/>
      <c r="G37"/>
      <c r="H37" s="37">
        <f>-0.3896-0.1</f>
        <v>-0.48960000000000004</v>
      </c>
      <c r="I37" s="10"/>
      <c r="J37" s="10"/>
      <c r="K37" s="10"/>
      <c r="L37" s="10"/>
      <c r="M37" s="46">
        <f>-0.3896-0.1</f>
        <v>-0.48960000000000004</v>
      </c>
    </row>
    <row r="38" spans="1:14" x14ac:dyDescent="0.2">
      <c r="A38" s="18" t="s">
        <v>161</v>
      </c>
      <c r="B38" t="s">
        <v>139</v>
      </c>
      <c r="C38" s="43">
        <v>43992</v>
      </c>
      <c r="D38" s="2" t="s">
        <v>23</v>
      </c>
      <c r="E38" s="7"/>
      <c r="F38"/>
      <c r="G38"/>
      <c r="H38" s="37">
        <v>-0.88490000000000002</v>
      </c>
      <c r="I38" s="10"/>
      <c r="J38" s="10"/>
      <c r="K38" s="10"/>
      <c r="L38" s="10"/>
      <c r="M38" s="46">
        <v>-0.88490000000000002</v>
      </c>
    </row>
    <row r="39" spans="1:14" x14ac:dyDescent="0.2">
      <c r="A39" s="18" t="s">
        <v>161</v>
      </c>
      <c r="B39" t="s">
        <v>139</v>
      </c>
      <c r="C39" s="43">
        <v>43992</v>
      </c>
      <c r="D39" s="2" t="s">
        <v>21</v>
      </c>
      <c r="E39" s="7"/>
      <c r="F39">
        <v>156271</v>
      </c>
      <c r="G39">
        <v>517445</v>
      </c>
      <c r="H39" s="37">
        <v>1.5610999999999999</v>
      </c>
      <c r="I39" s="10"/>
      <c r="J39" s="10"/>
      <c r="K39" s="10"/>
      <c r="L39" s="10"/>
      <c r="M39" s="46">
        <v>1.5610999999999999</v>
      </c>
    </row>
    <row r="40" spans="1:14" x14ac:dyDescent="0.2">
      <c r="A40" s="18" t="s">
        <v>161</v>
      </c>
      <c r="B40" t="s">
        <v>139</v>
      </c>
      <c r="C40" s="43">
        <v>44026</v>
      </c>
      <c r="D40" s="2" t="s">
        <v>44</v>
      </c>
      <c r="E40" s="7">
        <v>14812</v>
      </c>
      <c r="F40"/>
      <c r="G40"/>
      <c r="H40" s="37">
        <f>0.1414-0.945</f>
        <v>-0.80359999999999998</v>
      </c>
      <c r="I40" s="33">
        <v>141</v>
      </c>
      <c r="J40" s="14">
        <v>140.5</v>
      </c>
      <c r="K40" s="24">
        <f>J40-I40</f>
        <v>-0.5</v>
      </c>
      <c r="L40" s="93">
        <v>-860</v>
      </c>
      <c r="M40" s="46">
        <f>0.1478-0.945</f>
        <v>-0.79719999999999991</v>
      </c>
    </row>
    <row r="41" spans="1:14" x14ac:dyDescent="0.2">
      <c r="A41" s="18" t="s">
        <v>161</v>
      </c>
      <c r="B41" t="s">
        <v>139</v>
      </c>
      <c r="C41" s="43">
        <v>44026</v>
      </c>
      <c r="D41" s="2" t="s">
        <v>46</v>
      </c>
      <c r="E41" s="7">
        <v>13390036</v>
      </c>
      <c r="F41"/>
      <c r="G41"/>
      <c r="H41" s="37">
        <f>-0.3896-0.1</f>
        <v>-0.48960000000000004</v>
      </c>
      <c r="I41" s="10"/>
      <c r="J41" s="10"/>
      <c r="K41" s="10"/>
      <c r="L41" s="10"/>
      <c r="M41" s="46">
        <f>-0.3672-0.1</f>
        <v>-0.46720000000000006</v>
      </c>
    </row>
    <row r="42" spans="1:14" x14ac:dyDescent="0.2">
      <c r="A42" s="18" t="s">
        <v>161</v>
      </c>
      <c r="B42" t="s">
        <v>139</v>
      </c>
      <c r="C42" s="43">
        <v>44026</v>
      </c>
      <c r="D42" s="2" t="s">
        <v>23</v>
      </c>
      <c r="E42" s="7"/>
      <c r="F42"/>
      <c r="G42"/>
      <c r="H42" s="37">
        <v>-0.86050000000000004</v>
      </c>
      <c r="I42" s="10"/>
      <c r="J42" s="10"/>
      <c r="K42" s="10"/>
      <c r="L42" s="10"/>
      <c r="M42" s="46">
        <v>-0.86050000000000004</v>
      </c>
    </row>
    <row r="43" spans="1:14" x14ac:dyDescent="0.2">
      <c r="A43" s="18" t="s">
        <v>161</v>
      </c>
      <c r="B43" t="s">
        <v>139</v>
      </c>
      <c r="C43" s="43">
        <v>44026</v>
      </c>
      <c r="D43" s="2" t="s">
        <v>21</v>
      </c>
      <c r="E43" s="7"/>
      <c r="F43">
        <v>156271</v>
      </c>
      <c r="G43">
        <v>517445</v>
      </c>
      <c r="H43" s="37">
        <v>1.5790999999999999</v>
      </c>
      <c r="I43" s="10"/>
      <c r="J43" s="10"/>
      <c r="K43" s="10"/>
      <c r="L43" s="10"/>
      <c r="M43" s="46">
        <v>1.5790999999999999</v>
      </c>
    </row>
    <row r="44" spans="1:14" x14ac:dyDescent="0.2">
      <c r="A44" t="s">
        <v>161</v>
      </c>
      <c r="B44" t="s">
        <v>139</v>
      </c>
      <c r="C44" s="5">
        <v>44054</v>
      </c>
      <c r="D44" t="s">
        <v>44</v>
      </c>
      <c r="E44" s="7">
        <v>14812</v>
      </c>
      <c r="F44"/>
      <c r="G44"/>
      <c r="H44" s="10">
        <v>-0.74</v>
      </c>
      <c r="I44" s="33">
        <v>141</v>
      </c>
      <c r="J44" s="14">
        <v>140.5</v>
      </c>
      <c r="K44" s="24">
        <f>J44-I44</f>
        <v>-0.5</v>
      </c>
      <c r="L44" s="98">
        <v>-860</v>
      </c>
      <c r="M44" s="51">
        <v>-0.74</v>
      </c>
    </row>
    <row r="45" spans="1:14" x14ac:dyDescent="0.2">
      <c r="A45" t="s">
        <v>161</v>
      </c>
      <c r="B45" t="s">
        <v>139</v>
      </c>
      <c r="C45" s="5">
        <v>44054</v>
      </c>
      <c r="D45" t="s">
        <v>46</v>
      </c>
      <c r="E45" s="7">
        <v>13390036</v>
      </c>
      <c r="F45"/>
      <c r="G45"/>
      <c r="H45" s="10">
        <v>-0.49</v>
      </c>
      <c r="I45" s="10"/>
      <c r="J45" s="10"/>
      <c r="K45" s="10"/>
      <c r="L45" s="19"/>
      <c r="M45" s="51">
        <v>-0.48</v>
      </c>
    </row>
    <row r="46" spans="1:14" x14ac:dyDescent="0.2">
      <c r="A46" t="s">
        <v>161</v>
      </c>
      <c r="B46" t="s">
        <v>139</v>
      </c>
      <c r="C46" s="5">
        <v>44054</v>
      </c>
      <c r="D46" t="s">
        <v>23</v>
      </c>
      <c r="E46" s="7"/>
      <c r="F46"/>
      <c r="G46"/>
      <c r="H46" s="10">
        <v>-0.89</v>
      </c>
      <c r="I46" s="10"/>
      <c r="J46" s="10"/>
      <c r="K46" s="10"/>
      <c r="L46" s="10"/>
      <c r="M46" s="51">
        <v>-0.89</v>
      </c>
    </row>
    <row r="47" spans="1:14" x14ac:dyDescent="0.2">
      <c r="A47" t="s">
        <v>161</v>
      </c>
      <c r="B47" t="s">
        <v>139</v>
      </c>
      <c r="C47" s="5">
        <v>44054</v>
      </c>
      <c r="D47" t="s">
        <v>21</v>
      </c>
      <c r="E47" s="7"/>
      <c r="F47">
        <v>156271</v>
      </c>
      <c r="G47">
        <v>517445</v>
      </c>
      <c r="H47" s="10">
        <v>1.58</v>
      </c>
      <c r="I47" s="10"/>
      <c r="J47" s="10"/>
      <c r="K47" s="10"/>
      <c r="L47" s="10"/>
      <c r="M47" s="51">
        <v>1.56</v>
      </c>
    </row>
    <row r="48" spans="1:14" x14ac:dyDescent="0.2">
      <c r="A48" t="s">
        <v>161</v>
      </c>
      <c r="B48" t="s">
        <v>139</v>
      </c>
      <c r="C48" s="5">
        <v>44083</v>
      </c>
      <c r="D48" t="s">
        <v>44</v>
      </c>
      <c r="E48" s="7">
        <v>14812</v>
      </c>
      <c r="F48"/>
      <c r="G48"/>
      <c r="H48" s="10">
        <v>-0.74</v>
      </c>
      <c r="I48" s="33">
        <v>141</v>
      </c>
      <c r="J48" s="14">
        <v>140.5</v>
      </c>
      <c r="K48" s="24">
        <f>J48-I48</f>
        <v>-0.5</v>
      </c>
      <c r="L48" s="93">
        <v>-847</v>
      </c>
      <c r="M48" s="46">
        <f>0.1933-0.945</f>
        <v>-0.75169999999999992</v>
      </c>
    </row>
    <row r="49" spans="1:14" x14ac:dyDescent="0.2">
      <c r="A49" t="s">
        <v>161</v>
      </c>
      <c r="B49" t="s">
        <v>139</v>
      </c>
      <c r="C49" s="5">
        <v>44083</v>
      </c>
      <c r="D49" t="s">
        <v>46</v>
      </c>
      <c r="E49" s="7">
        <v>13390036</v>
      </c>
      <c r="F49"/>
      <c r="G49"/>
      <c r="H49" s="37">
        <f>-0.3531-0.1</f>
        <v>-0.45310000000000006</v>
      </c>
      <c r="I49" s="10"/>
      <c r="J49" s="10"/>
      <c r="K49" s="10"/>
      <c r="L49" s="10"/>
      <c r="M49" s="46">
        <f>-0.3531-0.1</f>
        <v>-0.45310000000000006</v>
      </c>
    </row>
    <row r="50" spans="1:14" x14ac:dyDescent="0.2">
      <c r="A50" t="s">
        <v>161</v>
      </c>
      <c r="B50" t="s">
        <v>139</v>
      </c>
      <c r="C50" s="5">
        <v>44083</v>
      </c>
      <c r="D50" t="s">
        <v>23</v>
      </c>
      <c r="E50" s="7"/>
      <c r="F50"/>
      <c r="G50"/>
      <c r="H50" s="37">
        <v>-0.83450000000000002</v>
      </c>
      <c r="I50" s="10"/>
      <c r="J50" s="10"/>
      <c r="K50" s="10"/>
      <c r="L50" s="10"/>
      <c r="M50" s="51">
        <v>-0.83450000000000002</v>
      </c>
    </row>
    <row r="51" spans="1:14" x14ac:dyDescent="0.2">
      <c r="A51" t="s">
        <v>161</v>
      </c>
      <c r="B51" t="s">
        <v>139</v>
      </c>
      <c r="C51" s="5">
        <v>44083</v>
      </c>
      <c r="D51" t="s">
        <v>21</v>
      </c>
      <c r="E51" s="7"/>
      <c r="F51">
        <v>156271</v>
      </c>
      <c r="G51">
        <v>517445</v>
      </c>
      <c r="H51" s="10">
        <v>1.5525</v>
      </c>
      <c r="I51" s="10"/>
      <c r="J51" s="10"/>
      <c r="K51" s="10"/>
      <c r="L51" s="10"/>
      <c r="M51" s="51">
        <v>1.5525</v>
      </c>
    </row>
    <row r="52" spans="1:14" x14ac:dyDescent="0.2">
      <c r="A52" t="s">
        <v>161</v>
      </c>
      <c r="B52" t="s">
        <v>139</v>
      </c>
      <c r="C52" s="5">
        <v>44138</v>
      </c>
      <c r="D52" t="s">
        <v>44</v>
      </c>
      <c r="E52" s="7">
        <v>14812</v>
      </c>
      <c r="F52"/>
      <c r="G52"/>
      <c r="H52" s="10">
        <v>-0.76649999999999996</v>
      </c>
      <c r="I52" s="33">
        <v>141</v>
      </c>
      <c r="J52" s="14">
        <v>140.5</v>
      </c>
      <c r="K52" s="24">
        <f>J52-I52</f>
        <v>-0.5</v>
      </c>
      <c r="L52" s="98">
        <v>-847</v>
      </c>
      <c r="M52" s="46">
        <f>0.1785-0.945</f>
        <v>-0.76649999999999996</v>
      </c>
    </row>
    <row r="53" spans="1:14" x14ac:dyDescent="0.2">
      <c r="A53" t="s">
        <v>161</v>
      </c>
      <c r="B53" t="s">
        <v>139</v>
      </c>
      <c r="C53" s="5">
        <v>44138</v>
      </c>
      <c r="D53" t="s">
        <v>46</v>
      </c>
      <c r="E53" s="7">
        <v>13390036</v>
      </c>
      <c r="F53"/>
      <c r="G53"/>
      <c r="H53" s="37">
        <f>-0.3531-0.1</f>
        <v>-0.45310000000000006</v>
      </c>
      <c r="I53" s="10"/>
      <c r="J53" s="10"/>
      <c r="K53" s="10"/>
      <c r="L53" s="10"/>
      <c r="M53" s="46">
        <f>-0.3747-0.1</f>
        <v>-0.47470000000000001</v>
      </c>
    </row>
    <row r="54" spans="1:14" x14ac:dyDescent="0.2">
      <c r="A54" t="s">
        <v>161</v>
      </c>
      <c r="B54" t="s">
        <v>139</v>
      </c>
      <c r="C54" s="5">
        <v>44138</v>
      </c>
      <c r="D54" t="s">
        <v>23</v>
      </c>
      <c r="E54" s="7"/>
      <c r="F54"/>
      <c r="G54"/>
      <c r="H54" s="37">
        <v>-0.82089999999999996</v>
      </c>
      <c r="I54" s="10"/>
      <c r="J54" s="10"/>
      <c r="K54" s="10"/>
      <c r="L54" s="10"/>
      <c r="M54" s="51">
        <v>-0.82089999999999996</v>
      </c>
    </row>
    <row r="55" spans="1:14" s="126" customFormat="1" ht="13.5" thickBot="1" x14ac:dyDescent="0.25">
      <c r="A55" s="117" t="s">
        <v>161</v>
      </c>
      <c r="B55" s="118" t="s">
        <v>139</v>
      </c>
      <c r="C55" s="119">
        <v>44138</v>
      </c>
      <c r="D55" s="120" t="s">
        <v>21</v>
      </c>
      <c r="E55" s="128"/>
      <c r="F55" s="118">
        <v>156271</v>
      </c>
      <c r="G55" s="118">
        <v>517445</v>
      </c>
      <c r="H55" s="122">
        <v>1.5525</v>
      </c>
      <c r="I55" s="123"/>
      <c r="J55" s="123"/>
      <c r="K55" s="123"/>
      <c r="L55" s="123"/>
      <c r="M55" s="124">
        <v>1.5576000000000001</v>
      </c>
      <c r="N55" s="125"/>
    </row>
    <row r="56" spans="1:14" x14ac:dyDescent="0.2">
      <c r="A56"/>
      <c r="B56"/>
      <c r="C56"/>
      <c r="D56"/>
      <c r="E56" s="7"/>
      <c r="F56"/>
      <c r="G56"/>
      <c r="H56" s="10"/>
      <c r="I56" s="10"/>
      <c r="J56" s="10"/>
      <c r="K56" s="10"/>
      <c r="L56" s="10"/>
      <c r="M56" s="51"/>
    </row>
    <row r="57" spans="1:14" x14ac:dyDescent="0.2">
      <c r="A57"/>
      <c r="B57"/>
      <c r="C57"/>
      <c r="D57"/>
      <c r="E57" s="7"/>
      <c r="F57"/>
      <c r="G57"/>
      <c r="H57" s="10"/>
      <c r="I57" s="10"/>
      <c r="J57" s="10"/>
      <c r="K57" s="10"/>
      <c r="L57" s="10"/>
      <c r="M57" s="51"/>
    </row>
    <row r="58" spans="1:14" x14ac:dyDescent="0.2">
      <c r="A58"/>
      <c r="B58"/>
      <c r="C58"/>
      <c r="D58"/>
      <c r="E58" s="7"/>
      <c r="F58"/>
      <c r="G58"/>
      <c r="H58" s="10"/>
      <c r="I58" s="10"/>
      <c r="J58" s="10"/>
      <c r="K58" s="10"/>
      <c r="L58" s="10"/>
      <c r="M58" s="51"/>
    </row>
    <row r="59" spans="1:14" x14ac:dyDescent="0.2">
      <c r="A59"/>
      <c r="B59"/>
      <c r="C59"/>
      <c r="D59"/>
      <c r="E59" s="7"/>
      <c r="F59"/>
      <c r="G59"/>
      <c r="H59" s="10"/>
      <c r="I59" s="10"/>
      <c r="J59" s="10"/>
      <c r="K59" s="10"/>
      <c r="L59" s="10"/>
      <c r="M59" s="51"/>
    </row>
    <row r="60" spans="1:14" x14ac:dyDescent="0.2">
      <c r="A60"/>
      <c r="B60"/>
      <c r="C60"/>
      <c r="D60"/>
      <c r="E60" s="7"/>
      <c r="F60"/>
      <c r="G60"/>
      <c r="H60" s="10"/>
      <c r="I60" s="10"/>
      <c r="J60" s="10"/>
      <c r="K60" s="10"/>
      <c r="L60" s="10"/>
      <c r="M60" s="51"/>
    </row>
    <row r="61" spans="1:14" x14ac:dyDescent="0.2">
      <c r="A61"/>
      <c r="B61"/>
      <c r="C61"/>
      <c r="D61"/>
      <c r="E61" s="7"/>
      <c r="F61"/>
      <c r="G61"/>
      <c r="H61" s="10"/>
      <c r="I61" s="10"/>
      <c r="J61" s="10"/>
      <c r="K61" s="10"/>
      <c r="L61" s="10"/>
      <c r="M61" s="51"/>
    </row>
    <row r="62" spans="1:14" x14ac:dyDescent="0.2">
      <c r="A62"/>
      <c r="B62"/>
      <c r="D62"/>
      <c r="E62" s="7"/>
      <c r="F62"/>
      <c r="G62"/>
      <c r="H62" s="10"/>
      <c r="I62" s="10"/>
      <c r="J62" s="10"/>
      <c r="K62" s="10"/>
      <c r="L62" s="10"/>
      <c r="M62" s="51"/>
    </row>
    <row r="63" spans="1:14" x14ac:dyDescent="0.2">
      <c r="A63"/>
      <c r="B63"/>
      <c r="C63"/>
      <c r="D63"/>
      <c r="E63" s="7"/>
      <c r="F63"/>
      <c r="G63"/>
      <c r="H63" s="10"/>
      <c r="I63" s="10"/>
      <c r="J63" s="10"/>
      <c r="K63" s="10"/>
      <c r="L63" s="10"/>
      <c r="M63" s="51"/>
    </row>
    <row r="64" spans="1:14" ht="58.5" customHeight="1" x14ac:dyDescent="0.2">
      <c r="A64"/>
      <c r="B64"/>
      <c r="C64"/>
      <c r="D64"/>
      <c r="E64" s="7"/>
      <c r="F64"/>
      <c r="G64"/>
      <c r="H64" s="10"/>
      <c r="I64" s="10"/>
      <c r="J64" s="10"/>
      <c r="K64" s="10"/>
      <c r="L64" s="10"/>
      <c r="M64" s="51"/>
    </row>
    <row r="65" spans="1:13" x14ac:dyDescent="0.2">
      <c r="A65"/>
      <c r="B65"/>
      <c r="C65"/>
      <c r="D65"/>
      <c r="E65" s="7"/>
      <c r="F65"/>
      <c r="G65"/>
      <c r="H65" s="10"/>
      <c r="I65" s="10"/>
      <c r="J65" s="10"/>
      <c r="K65" s="10"/>
      <c r="L65" s="10"/>
      <c r="M65" s="51"/>
    </row>
    <row r="66" spans="1:13" x14ac:dyDescent="0.2">
      <c r="A66"/>
      <c r="B66"/>
      <c r="C66"/>
      <c r="D66"/>
      <c r="E66" s="7"/>
      <c r="F66"/>
      <c r="G66"/>
      <c r="H66" s="10"/>
      <c r="I66" s="10"/>
      <c r="J66" s="10"/>
      <c r="K66" s="10"/>
      <c r="L66" s="10"/>
      <c r="M66" s="51"/>
    </row>
    <row r="67" spans="1:13" x14ac:dyDescent="0.2">
      <c r="A67"/>
      <c r="B67"/>
      <c r="C67"/>
      <c r="D67"/>
      <c r="E67" s="7"/>
      <c r="F67"/>
      <c r="G67"/>
      <c r="H67" s="10"/>
      <c r="I67" s="10"/>
      <c r="J67" s="10"/>
      <c r="K67" s="10"/>
      <c r="L67" s="10"/>
      <c r="M67" s="51"/>
    </row>
    <row r="68" spans="1:13" x14ac:dyDescent="0.2">
      <c r="A68"/>
      <c r="B68"/>
      <c r="C68"/>
      <c r="D68"/>
      <c r="E68" s="7"/>
      <c r="F68"/>
      <c r="G68"/>
      <c r="H68" s="10"/>
      <c r="I68" s="10"/>
      <c r="J68" s="10"/>
      <c r="K68" s="10"/>
      <c r="L68" s="10"/>
      <c r="M68" s="51"/>
    </row>
    <row r="69" spans="1:13" x14ac:dyDescent="0.2">
      <c r="A69"/>
      <c r="B69"/>
      <c r="C69"/>
      <c r="D69"/>
      <c r="E69" s="7"/>
      <c r="F69"/>
      <c r="G69"/>
      <c r="H69" s="10"/>
      <c r="I69" s="10"/>
      <c r="J69" s="10"/>
      <c r="K69" s="10"/>
      <c r="L69" s="10"/>
      <c r="M69" s="51"/>
    </row>
    <row r="70" spans="1:13" x14ac:dyDescent="0.2">
      <c r="A70"/>
      <c r="B70"/>
      <c r="C70"/>
      <c r="D70"/>
      <c r="E70" s="7"/>
      <c r="F70"/>
      <c r="G70"/>
      <c r="H70" s="10"/>
      <c r="I70" s="10"/>
      <c r="J70" s="10"/>
      <c r="K70" s="10"/>
      <c r="L70" s="10"/>
      <c r="M70" s="51"/>
    </row>
    <row r="71" spans="1:13" x14ac:dyDescent="0.2">
      <c r="A71"/>
      <c r="B71"/>
      <c r="C71"/>
      <c r="D71"/>
      <c r="E71" s="7"/>
      <c r="F71"/>
      <c r="G71"/>
      <c r="H71" s="10"/>
      <c r="I71" s="10"/>
      <c r="J71" s="10"/>
      <c r="K71" s="10"/>
      <c r="L71" s="10"/>
      <c r="M71" s="51"/>
    </row>
    <row r="72" spans="1:13" x14ac:dyDescent="0.2">
      <c r="A72"/>
      <c r="B72"/>
      <c r="C72"/>
      <c r="D72"/>
      <c r="E72" s="7"/>
      <c r="F72"/>
      <c r="G72"/>
      <c r="H72" s="10"/>
      <c r="I72" s="10"/>
      <c r="J72" s="10"/>
      <c r="K72" s="10"/>
      <c r="L72" s="10"/>
      <c r="M72" s="51"/>
    </row>
    <row r="73" spans="1:13" x14ac:dyDescent="0.2">
      <c r="A73"/>
      <c r="B73"/>
      <c r="C73"/>
      <c r="D73"/>
      <c r="E73" s="7"/>
      <c r="F73"/>
      <c r="G73"/>
      <c r="H73" s="10"/>
      <c r="I73" s="10"/>
      <c r="J73" s="10"/>
      <c r="K73" s="10"/>
      <c r="L73" s="10"/>
      <c r="M73" s="51"/>
    </row>
    <row r="74" spans="1:13" x14ac:dyDescent="0.2">
      <c r="A74"/>
      <c r="B74"/>
      <c r="C74"/>
      <c r="D74"/>
      <c r="E74" s="7"/>
      <c r="F74"/>
      <c r="G74"/>
      <c r="H74" s="10"/>
      <c r="I74" s="10"/>
      <c r="J74" s="10"/>
      <c r="K74" s="10"/>
      <c r="L74" s="10"/>
      <c r="M74" s="51"/>
    </row>
    <row r="75" spans="1:13" x14ac:dyDescent="0.2">
      <c r="A75"/>
      <c r="B75"/>
      <c r="C75"/>
      <c r="D75"/>
      <c r="E75" s="7"/>
      <c r="F75"/>
      <c r="G75"/>
      <c r="H75" s="10"/>
      <c r="I75" s="10"/>
      <c r="J75" s="10"/>
      <c r="K75" s="10"/>
      <c r="L75" s="10"/>
      <c r="M75" s="51"/>
    </row>
    <row r="76" spans="1:13" x14ac:dyDescent="0.2">
      <c r="A76"/>
      <c r="B76"/>
      <c r="C76"/>
      <c r="D76"/>
      <c r="E76" s="7"/>
      <c r="F76"/>
      <c r="G76"/>
      <c r="H76" s="10"/>
      <c r="I76" s="10"/>
      <c r="J76" s="10"/>
      <c r="K76" s="10"/>
      <c r="L76" s="10"/>
      <c r="M76" s="51"/>
    </row>
    <row r="77" spans="1:13" x14ac:dyDescent="0.2">
      <c r="A77"/>
      <c r="B77"/>
      <c r="C77"/>
      <c r="D77"/>
      <c r="E77" s="7"/>
      <c r="F77"/>
      <c r="G77"/>
      <c r="H77" s="10"/>
      <c r="I77" s="10"/>
      <c r="J77" s="10"/>
      <c r="K77" s="10"/>
      <c r="L77" s="10"/>
      <c r="M77" s="51"/>
    </row>
    <row r="78" spans="1:13" x14ac:dyDescent="0.2">
      <c r="A78"/>
      <c r="B78"/>
      <c r="C78"/>
      <c r="D78"/>
      <c r="E78" s="7"/>
      <c r="F78"/>
      <c r="G78"/>
      <c r="H78" s="10"/>
      <c r="I78" s="10"/>
      <c r="J78" s="10"/>
      <c r="K78" s="10"/>
      <c r="L78" s="10"/>
      <c r="M78" s="51"/>
    </row>
    <row r="79" spans="1:13" ht="42.75" customHeight="1" x14ac:dyDescent="0.2">
      <c r="A79"/>
      <c r="B79"/>
      <c r="C79"/>
      <c r="D79"/>
      <c r="E79" s="7"/>
      <c r="F79"/>
      <c r="G79"/>
      <c r="H79" s="10"/>
      <c r="I79" s="10"/>
      <c r="J79" s="10"/>
      <c r="K79" s="10"/>
      <c r="L79" s="10"/>
      <c r="M79" s="51"/>
    </row>
    <row r="80" spans="1:13" x14ac:dyDescent="0.2">
      <c r="A80"/>
      <c r="B80"/>
      <c r="C80"/>
      <c r="D80"/>
      <c r="E80" s="7"/>
      <c r="F80"/>
      <c r="G80"/>
      <c r="H80" s="10"/>
      <c r="I80" s="10"/>
      <c r="J80" s="10"/>
      <c r="K80" s="10"/>
      <c r="L80" s="10"/>
      <c r="M80" s="51"/>
    </row>
    <row r="81" spans="1:13" ht="12.75" customHeight="1" x14ac:dyDescent="0.2">
      <c r="A81"/>
      <c r="B81"/>
      <c r="C81"/>
      <c r="D81"/>
      <c r="E81" s="7"/>
      <c r="F81"/>
      <c r="G81"/>
      <c r="H81" s="10"/>
      <c r="I81" s="10"/>
      <c r="J81" s="10"/>
      <c r="K81" s="10"/>
      <c r="L81" s="10"/>
      <c r="M81" s="51"/>
    </row>
    <row r="82" spans="1:13" ht="12.75" customHeight="1" x14ac:dyDescent="0.2">
      <c r="A82"/>
      <c r="B82"/>
      <c r="C82"/>
      <c r="D82"/>
      <c r="E82" s="7"/>
      <c r="F82"/>
      <c r="G82"/>
      <c r="H82" s="10"/>
      <c r="I82" s="10"/>
      <c r="J82" s="10"/>
      <c r="K82" s="10"/>
      <c r="L82" s="10"/>
      <c r="M82" s="51"/>
    </row>
    <row r="83" spans="1:13" x14ac:dyDescent="0.2">
      <c r="A83"/>
      <c r="B83"/>
      <c r="C83"/>
      <c r="D83"/>
      <c r="E83" s="7"/>
      <c r="F83"/>
      <c r="G83"/>
      <c r="H83" s="10"/>
      <c r="I83" s="10"/>
      <c r="J83" s="10"/>
      <c r="K83" s="10"/>
      <c r="L83" s="10"/>
      <c r="M83" s="51"/>
    </row>
    <row r="84" spans="1:13" x14ac:dyDescent="0.2">
      <c r="A84"/>
      <c r="B84"/>
      <c r="C84"/>
      <c r="D84"/>
      <c r="E84" s="7"/>
      <c r="F84"/>
      <c r="G84"/>
      <c r="H84" s="10"/>
      <c r="I84" s="10"/>
      <c r="J84" s="10"/>
      <c r="K84" s="10"/>
      <c r="L84" s="10"/>
      <c r="M84" s="51"/>
    </row>
    <row r="85" spans="1:13" x14ac:dyDescent="0.2">
      <c r="A85"/>
      <c r="B85"/>
      <c r="C85"/>
      <c r="D85"/>
      <c r="E85" s="7"/>
      <c r="F85"/>
      <c r="G85"/>
      <c r="H85" s="10"/>
      <c r="I85" s="10"/>
      <c r="J85" s="10"/>
      <c r="K85" s="10"/>
      <c r="L85" s="10"/>
      <c r="M85" s="51"/>
    </row>
    <row r="86" spans="1:13" x14ac:dyDescent="0.2">
      <c r="A86"/>
      <c r="B86"/>
      <c r="C86"/>
      <c r="D86"/>
      <c r="E86" s="7"/>
      <c r="F86"/>
      <c r="G86"/>
      <c r="H86" s="10"/>
      <c r="I86" s="10"/>
      <c r="J86" s="10"/>
      <c r="K86" s="10"/>
      <c r="L86" s="10"/>
      <c r="M86" s="51"/>
    </row>
    <row r="87" spans="1:13" x14ac:dyDescent="0.2">
      <c r="A87"/>
      <c r="B87"/>
      <c r="C87"/>
      <c r="D87"/>
      <c r="E87" s="7"/>
      <c r="F87"/>
      <c r="G87"/>
      <c r="H87" s="10"/>
      <c r="I87" s="10"/>
      <c r="J87" s="10"/>
      <c r="K87" s="10"/>
      <c r="L87" s="10"/>
      <c r="M87" s="51"/>
    </row>
    <row r="88" spans="1:13" x14ac:dyDescent="0.2">
      <c r="A88"/>
      <c r="B88"/>
      <c r="C88"/>
      <c r="D88"/>
      <c r="E88" s="7"/>
      <c r="F88"/>
      <c r="G88"/>
      <c r="H88" s="10"/>
      <c r="I88" s="10"/>
      <c r="J88" s="10"/>
      <c r="K88" s="10"/>
      <c r="L88" s="10"/>
      <c r="M88" s="51"/>
    </row>
    <row r="89" spans="1:13" x14ac:dyDescent="0.2">
      <c r="A89"/>
      <c r="B89"/>
      <c r="C89"/>
      <c r="D89"/>
      <c r="E89" s="7"/>
      <c r="F89"/>
      <c r="G89"/>
      <c r="H89" s="10"/>
      <c r="I89" s="10"/>
      <c r="J89" s="10"/>
      <c r="K89" s="10"/>
      <c r="L89" s="10"/>
      <c r="M89" s="51"/>
    </row>
    <row r="90" spans="1:13" x14ac:dyDescent="0.2">
      <c r="A90"/>
      <c r="B90"/>
      <c r="C90"/>
      <c r="D90"/>
      <c r="E90" s="7"/>
      <c r="F90"/>
      <c r="G90"/>
      <c r="H90" s="10"/>
      <c r="I90" s="10"/>
      <c r="J90" s="10"/>
      <c r="K90" s="10"/>
      <c r="L90" s="10"/>
      <c r="M90" s="51"/>
    </row>
    <row r="91" spans="1:13" x14ac:dyDescent="0.2">
      <c r="A91"/>
      <c r="B91"/>
      <c r="C91"/>
      <c r="D91"/>
      <c r="E91" s="7"/>
      <c r="F91"/>
      <c r="G91"/>
      <c r="H91" s="10"/>
      <c r="I91" s="10"/>
      <c r="J91" s="10"/>
      <c r="K91" s="10"/>
      <c r="L91" s="10"/>
      <c r="M91" s="51"/>
    </row>
    <row r="92" spans="1:13" x14ac:dyDescent="0.2">
      <c r="A92"/>
      <c r="B92"/>
      <c r="C92"/>
      <c r="D92"/>
      <c r="E92" s="7"/>
      <c r="F92"/>
      <c r="G92"/>
      <c r="H92" s="10"/>
      <c r="I92" s="10"/>
      <c r="J92" s="10"/>
      <c r="K92" s="10"/>
      <c r="L92" s="10"/>
      <c r="M92" s="51"/>
    </row>
    <row r="93" spans="1:13" x14ac:dyDescent="0.2">
      <c r="A93"/>
      <c r="B93"/>
      <c r="C93"/>
      <c r="D93"/>
      <c r="E93" s="7"/>
      <c r="F93"/>
      <c r="G93"/>
      <c r="H93" s="10"/>
      <c r="I93" s="10"/>
      <c r="J93" s="10"/>
      <c r="K93" s="10"/>
      <c r="L93" s="10"/>
      <c r="M93" s="51"/>
    </row>
    <row r="94" spans="1:13" x14ac:dyDescent="0.2">
      <c r="A94"/>
      <c r="B94"/>
      <c r="C94"/>
      <c r="D94"/>
      <c r="E94" s="7"/>
      <c r="F94"/>
      <c r="G94"/>
      <c r="H94" s="10"/>
      <c r="I94" s="10"/>
      <c r="J94" s="10"/>
      <c r="K94" s="10"/>
      <c r="L94" s="10"/>
      <c r="M94" s="51"/>
    </row>
    <row r="95" spans="1:13" x14ac:dyDescent="0.2">
      <c r="A95"/>
      <c r="B95"/>
      <c r="C95"/>
      <c r="D95"/>
      <c r="E95" s="7"/>
      <c r="F95"/>
      <c r="G95"/>
      <c r="H95" s="10"/>
      <c r="I95" s="10"/>
      <c r="J95" s="10"/>
      <c r="K95" s="10"/>
      <c r="L95" s="10"/>
      <c r="M95" s="51"/>
    </row>
    <row r="96" spans="1:13" x14ac:dyDescent="0.2">
      <c r="A96"/>
      <c r="B96"/>
      <c r="C96"/>
      <c r="D96"/>
      <c r="E96" s="7"/>
      <c r="F96"/>
      <c r="G96"/>
      <c r="H96" s="10"/>
      <c r="I96" s="10"/>
      <c r="J96" s="10"/>
      <c r="K96" s="10"/>
      <c r="L96" s="10"/>
      <c r="M96" s="51"/>
    </row>
    <row r="97" spans="1:13" x14ac:dyDescent="0.2">
      <c r="A97"/>
      <c r="B97"/>
      <c r="C97"/>
      <c r="D97"/>
      <c r="E97" s="7"/>
      <c r="F97"/>
      <c r="G97"/>
      <c r="H97" s="10"/>
      <c r="I97" s="10"/>
      <c r="J97" s="10"/>
      <c r="K97" s="10"/>
      <c r="L97" s="10"/>
      <c r="M97" s="51"/>
    </row>
    <row r="98" spans="1:13" x14ac:dyDescent="0.2">
      <c r="A98"/>
      <c r="B98"/>
      <c r="C98"/>
      <c r="D98"/>
      <c r="E98" s="7"/>
      <c r="F98"/>
      <c r="G98"/>
      <c r="H98" s="10"/>
      <c r="I98" s="10"/>
      <c r="J98" s="10"/>
      <c r="K98" s="10"/>
      <c r="L98" s="10"/>
      <c r="M98" s="51"/>
    </row>
    <row r="99" spans="1:13" x14ac:dyDescent="0.2">
      <c r="A99"/>
      <c r="B99"/>
      <c r="C99"/>
      <c r="D99"/>
      <c r="E99" s="7"/>
      <c r="F99"/>
      <c r="G99"/>
      <c r="H99" s="10"/>
      <c r="I99" s="10"/>
      <c r="J99" s="10"/>
      <c r="K99" s="10"/>
      <c r="L99" s="10"/>
      <c r="M99" s="51"/>
    </row>
    <row r="100" spans="1:13" x14ac:dyDescent="0.2">
      <c r="A100"/>
      <c r="B100"/>
      <c r="C100"/>
      <c r="D100"/>
      <c r="E100" s="7"/>
      <c r="F100"/>
      <c r="G100"/>
      <c r="H100" s="10"/>
      <c r="I100" s="10"/>
      <c r="J100" s="10"/>
      <c r="K100" s="10"/>
      <c r="L100" s="10"/>
      <c r="M100" s="51"/>
    </row>
    <row r="101" spans="1:13" x14ac:dyDescent="0.2">
      <c r="A101"/>
      <c r="B101"/>
      <c r="C101"/>
      <c r="D101"/>
      <c r="E101" s="7"/>
      <c r="F101"/>
      <c r="G101"/>
      <c r="H101" s="10"/>
      <c r="I101" s="10"/>
      <c r="J101" s="10"/>
      <c r="K101" s="10"/>
      <c r="L101" s="10"/>
      <c r="M101" s="51"/>
    </row>
    <row r="102" spans="1:13" x14ac:dyDescent="0.2">
      <c r="A102"/>
      <c r="B102"/>
      <c r="C102"/>
      <c r="D102"/>
      <c r="E102" s="7"/>
      <c r="F102"/>
      <c r="G102"/>
      <c r="H102" s="10"/>
      <c r="I102" s="10"/>
      <c r="J102" s="10"/>
      <c r="K102" s="10"/>
      <c r="L102" s="10"/>
      <c r="M102" s="51"/>
    </row>
    <row r="103" spans="1:13" x14ac:dyDescent="0.2">
      <c r="A103"/>
      <c r="B103"/>
      <c r="C103"/>
      <c r="D103"/>
      <c r="E103" s="7"/>
      <c r="F103"/>
      <c r="G103"/>
      <c r="H103" s="10"/>
      <c r="I103" s="10"/>
      <c r="J103" s="10"/>
      <c r="K103" s="10"/>
      <c r="L103" s="10"/>
      <c r="M103" s="51"/>
    </row>
    <row r="104" spans="1:13" x14ac:dyDescent="0.2">
      <c r="A104"/>
      <c r="B104"/>
      <c r="C104"/>
      <c r="D104"/>
      <c r="E104" s="7"/>
      <c r="F104"/>
      <c r="G104"/>
      <c r="H104" s="10"/>
      <c r="I104" s="10"/>
      <c r="J104" s="10"/>
      <c r="K104" s="10"/>
      <c r="L104" s="10"/>
      <c r="M104" s="51"/>
    </row>
    <row r="105" spans="1:13" x14ac:dyDescent="0.2">
      <c r="A105"/>
      <c r="B105"/>
      <c r="C105"/>
      <c r="D105"/>
      <c r="E105" s="7"/>
      <c r="F105"/>
      <c r="G105"/>
      <c r="H105" s="10"/>
      <c r="I105" s="10"/>
      <c r="J105" s="10"/>
      <c r="K105" s="10"/>
      <c r="L105" s="10"/>
      <c r="M105" s="51"/>
    </row>
    <row r="106" spans="1:13" x14ac:dyDescent="0.2">
      <c r="A106"/>
      <c r="B106"/>
      <c r="C106"/>
      <c r="D106"/>
      <c r="E106" s="7"/>
      <c r="F106"/>
      <c r="G106"/>
      <c r="H106" s="10"/>
      <c r="I106" s="10"/>
      <c r="J106" s="10"/>
      <c r="K106" s="10"/>
      <c r="L106" s="10"/>
      <c r="M106" s="51"/>
    </row>
    <row r="107" spans="1:13" x14ac:dyDescent="0.2">
      <c r="A107"/>
      <c r="B107"/>
      <c r="C107"/>
      <c r="D107"/>
      <c r="E107" s="7"/>
      <c r="F107"/>
      <c r="G107"/>
      <c r="H107" s="10"/>
      <c r="I107" s="10"/>
      <c r="J107" s="10"/>
      <c r="K107" s="10"/>
      <c r="L107" s="10"/>
      <c r="M107" s="51"/>
    </row>
    <row r="108" spans="1:13" x14ac:dyDescent="0.2">
      <c r="A108"/>
      <c r="B108"/>
      <c r="C108"/>
      <c r="D108"/>
      <c r="E108" s="7"/>
      <c r="F108"/>
      <c r="G108"/>
      <c r="H108" s="10"/>
      <c r="I108" s="10"/>
      <c r="J108" s="10"/>
      <c r="K108" s="10"/>
      <c r="L108" s="10"/>
      <c r="M108" s="51"/>
    </row>
    <row r="109" spans="1:13" x14ac:dyDescent="0.2">
      <c r="A109"/>
      <c r="B109"/>
      <c r="C109"/>
      <c r="D109"/>
      <c r="E109" s="7"/>
      <c r="F109"/>
      <c r="G109"/>
      <c r="H109" s="10"/>
      <c r="I109" s="10"/>
      <c r="J109" s="10"/>
      <c r="K109" s="10"/>
      <c r="L109" s="10"/>
      <c r="M109" s="51"/>
    </row>
    <row r="110" spans="1:13" x14ac:dyDescent="0.2">
      <c r="A110"/>
      <c r="B110"/>
      <c r="C110"/>
      <c r="D110"/>
      <c r="E110" s="7"/>
      <c r="F110"/>
      <c r="G110"/>
      <c r="H110" s="10"/>
      <c r="I110" s="10"/>
      <c r="J110" s="10"/>
      <c r="K110" s="10"/>
      <c r="L110" s="10"/>
      <c r="M110" s="51"/>
    </row>
    <row r="111" spans="1:13" x14ac:dyDescent="0.2">
      <c r="A111"/>
      <c r="B111"/>
      <c r="C111"/>
      <c r="D111"/>
      <c r="E111" s="7"/>
      <c r="F111"/>
      <c r="G111"/>
      <c r="H111" s="10"/>
      <c r="I111" s="10"/>
      <c r="J111" s="10"/>
      <c r="K111" s="10"/>
      <c r="L111" s="10"/>
      <c r="M111" s="51"/>
    </row>
    <row r="112" spans="1:13" x14ac:dyDescent="0.2">
      <c r="A112"/>
      <c r="B112"/>
      <c r="C112"/>
      <c r="D112"/>
      <c r="E112" s="7"/>
      <c r="F112"/>
      <c r="G112"/>
      <c r="H112" s="10"/>
      <c r="I112" s="10"/>
      <c r="J112" s="10"/>
      <c r="K112" s="10"/>
      <c r="L112" s="10"/>
      <c r="M112" s="51"/>
    </row>
    <row r="113" spans="1:13" x14ac:dyDescent="0.2">
      <c r="A113"/>
      <c r="B113"/>
      <c r="C113"/>
      <c r="D113"/>
      <c r="E113" s="7"/>
      <c r="F113"/>
      <c r="G113"/>
      <c r="H113" s="10"/>
      <c r="I113" s="10"/>
      <c r="J113" s="10"/>
      <c r="K113" s="10"/>
      <c r="L113" s="10"/>
      <c r="M113" s="51"/>
    </row>
    <row r="114" spans="1:13" x14ac:dyDescent="0.2">
      <c r="A114"/>
      <c r="B114"/>
      <c r="C114"/>
      <c r="D114"/>
      <c r="E114" s="7"/>
      <c r="F114"/>
      <c r="G114"/>
      <c r="H114" s="10"/>
      <c r="I114" s="10"/>
      <c r="J114" s="10"/>
      <c r="K114" s="10"/>
      <c r="L114" s="10"/>
      <c r="M114" s="51"/>
    </row>
    <row r="115" spans="1:13" x14ac:dyDescent="0.2">
      <c r="A115"/>
      <c r="B115"/>
      <c r="C115"/>
      <c r="D115"/>
      <c r="E115" s="7"/>
      <c r="F115"/>
      <c r="G115"/>
      <c r="H115" s="10"/>
      <c r="I115" s="10"/>
      <c r="J115" s="10"/>
      <c r="K115" s="10"/>
      <c r="L115" s="10"/>
      <c r="M115" s="51"/>
    </row>
    <row r="116" spans="1:13" x14ac:dyDescent="0.2">
      <c r="A116"/>
      <c r="B116"/>
      <c r="C116"/>
      <c r="D116"/>
      <c r="E116" s="7"/>
      <c r="F116"/>
      <c r="G116"/>
      <c r="H116" s="10"/>
      <c r="I116" s="10"/>
      <c r="J116" s="10"/>
      <c r="K116" s="10"/>
      <c r="L116" s="10"/>
      <c r="M116" s="51"/>
    </row>
    <row r="117" spans="1:13" x14ac:dyDescent="0.2">
      <c r="A117"/>
      <c r="B117"/>
      <c r="C117"/>
      <c r="D117"/>
      <c r="E117" s="7"/>
      <c r="F117"/>
      <c r="G117"/>
      <c r="H117" s="10"/>
      <c r="I117" s="10"/>
      <c r="J117" s="10"/>
      <c r="K117" s="10"/>
      <c r="L117" s="10"/>
      <c r="M117" s="51"/>
    </row>
    <row r="118" spans="1:13" x14ac:dyDescent="0.2">
      <c r="A118"/>
      <c r="B118"/>
      <c r="C118"/>
      <c r="D118"/>
      <c r="E118" s="7"/>
      <c r="F118"/>
      <c r="G118"/>
      <c r="H118" s="10"/>
      <c r="I118" s="10"/>
      <c r="J118" s="10"/>
      <c r="K118" s="10"/>
      <c r="L118" s="10"/>
      <c r="M118" s="51"/>
    </row>
    <row r="119" spans="1:13" x14ac:dyDescent="0.2">
      <c r="A119"/>
      <c r="B119"/>
      <c r="C119"/>
      <c r="D119"/>
      <c r="E119" s="7"/>
      <c r="F119"/>
      <c r="G119"/>
      <c r="H119" s="10"/>
      <c r="I119" s="10"/>
      <c r="J119" s="10"/>
      <c r="K119" s="10"/>
      <c r="L119" s="10"/>
      <c r="M119" s="51"/>
    </row>
    <row r="120" spans="1:13" x14ac:dyDescent="0.2">
      <c r="A120"/>
      <c r="B120"/>
      <c r="C120"/>
      <c r="D120"/>
      <c r="E120" s="7"/>
      <c r="F120"/>
      <c r="G120"/>
      <c r="H120" s="10"/>
      <c r="I120" s="10"/>
      <c r="J120" s="10"/>
      <c r="K120" s="10"/>
      <c r="L120" s="10"/>
      <c r="M120" s="51"/>
    </row>
    <row r="121" spans="1:13" x14ac:dyDescent="0.2">
      <c r="A121"/>
      <c r="B121"/>
      <c r="C121"/>
      <c r="D121"/>
      <c r="E121" s="7"/>
      <c r="F121"/>
      <c r="G121"/>
      <c r="H121" s="10"/>
      <c r="I121" s="10"/>
      <c r="J121" s="10"/>
      <c r="K121" s="10"/>
      <c r="L121" s="10"/>
      <c r="M121" s="51"/>
    </row>
    <row r="122" spans="1:13" x14ac:dyDescent="0.2">
      <c r="A122"/>
      <c r="B122"/>
      <c r="C122"/>
      <c r="D122"/>
      <c r="E122" s="7"/>
      <c r="F122"/>
      <c r="G122"/>
      <c r="H122" s="10"/>
      <c r="I122" s="10"/>
      <c r="J122" s="10"/>
      <c r="K122" s="10"/>
      <c r="L122" s="10"/>
      <c r="M122" s="51"/>
    </row>
    <row r="123" spans="1:13" x14ac:dyDescent="0.2">
      <c r="A123"/>
      <c r="B123"/>
      <c r="C123"/>
      <c r="D123"/>
      <c r="E123" s="7"/>
      <c r="F123"/>
      <c r="G123"/>
      <c r="H123" s="10"/>
      <c r="I123" s="10"/>
      <c r="J123" s="10"/>
      <c r="K123" s="10"/>
      <c r="L123" s="10"/>
      <c r="M123" s="51"/>
    </row>
    <row r="124" spans="1:13" x14ac:dyDescent="0.2">
      <c r="A124"/>
      <c r="B124"/>
      <c r="C124"/>
      <c r="D124"/>
      <c r="E124" s="7"/>
      <c r="F124"/>
      <c r="G124"/>
      <c r="H124" s="10"/>
      <c r="I124" s="10"/>
      <c r="J124" s="10"/>
      <c r="K124" s="10"/>
      <c r="L124" s="10"/>
      <c r="M124" s="51"/>
    </row>
    <row r="125" spans="1:13" x14ac:dyDescent="0.2">
      <c r="A125"/>
      <c r="B125"/>
      <c r="C125"/>
      <c r="D125"/>
      <c r="E125" s="7"/>
      <c r="F125"/>
      <c r="G125"/>
      <c r="H125" s="10"/>
      <c r="I125" s="10"/>
      <c r="J125" s="10"/>
      <c r="K125" s="10"/>
      <c r="L125" s="10"/>
      <c r="M125" s="51"/>
    </row>
    <row r="126" spans="1:13" x14ac:dyDescent="0.2">
      <c r="A126"/>
      <c r="B126"/>
      <c r="C126"/>
      <c r="D126"/>
      <c r="E126" s="7"/>
      <c r="F126"/>
      <c r="G126"/>
      <c r="H126" s="10"/>
      <c r="I126" s="10"/>
      <c r="J126" s="10"/>
      <c r="K126" s="10"/>
      <c r="L126" s="10"/>
      <c r="M126" s="51"/>
    </row>
    <row r="127" spans="1:13" x14ac:dyDescent="0.2">
      <c r="A127"/>
      <c r="B127"/>
      <c r="C127"/>
      <c r="D127"/>
      <c r="E127" s="7"/>
      <c r="F127"/>
      <c r="G127"/>
      <c r="H127" s="10"/>
      <c r="I127" s="10"/>
      <c r="J127" s="10"/>
      <c r="K127" s="10"/>
      <c r="L127" s="10"/>
      <c r="M127" s="51"/>
    </row>
    <row r="128" spans="1:13" x14ac:dyDescent="0.2">
      <c r="A128"/>
      <c r="B128"/>
      <c r="C128"/>
      <c r="D128"/>
      <c r="E128" s="7"/>
      <c r="F128"/>
      <c r="G128"/>
      <c r="H128" s="10"/>
      <c r="I128" s="10"/>
      <c r="J128" s="10"/>
      <c r="K128" s="10"/>
      <c r="L128" s="10"/>
      <c r="M128" s="51"/>
    </row>
    <row r="129" spans="1:13" x14ac:dyDescent="0.2">
      <c r="A129"/>
      <c r="B129"/>
      <c r="C129"/>
      <c r="D129"/>
      <c r="E129" s="7"/>
      <c r="F129"/>
      <c r="G129"/>
      <c r="H129" s="10"/>
      <c r="I129" s="10"/>
      <c r="J129" s="10"/>
      <c r="K129" s="10"/>
      <c r="L129" s="10"/>
      <c r="M129" s="51"/>
    </row>
    <row r="130" spans="1:13" x14ac:dyDescent="0.2">
      <c r="A130"/>
      <c r="B130"/>
      <c r="C130"/>
      <c r="D130"/>
      <c r="E130" s="7"/>
      <c r="F130"/>
      <c r="G130"/>
      <c r="H130" s="10"/>
      <c r="I130" s="10"/>
      <c r="J130" s="10"/>
      <c r="K130" s="10"/>
      <c r="L130" s="10"/>
      <c r="M130" s="51"/>
    </row>
    <row r="131" spans="1:13" x14ac:dyDescent="0.2">
      <c r="A131"/>
      <c r="B131"/>
      <c r="C131"/>
      <c r="D131"/>
      <c r="E131" s="7"/>
      <c r="F131"/>
      <c r="G131"/>
      <c r="H131" s="10"/>
      <c r="I131" s="10"/>
      <c r="J131" s="10"/>
      <c r="K131" s="10"/>
      <c r="L131" s="10"/>
      <c r="M131" s="51"/>
    </row>
    <row r="132" spans="1:13" x14ac:dyDescent="0.2">
      <c r="A132"/>
      <c r="B132"/>
      <c r="C132"/>
      <c r="D132"/>
      <c r="E132" s="7"/>
      <c r="F132"/>
      <c r="G132"/>
      <c r="H132" s="10"/>
      <c r="I132" s="10"/>
      <c r="J132" s="10"/>
      <c r="K132" s="10"/>
      <c r="L132" s="10"/>
      <c r="M132" s="51"/>
    </row>
    <row r="133" spans="1:13" x14ac:dyDescent="0.2">
      <c r="A133"/>
      <c r="B133"/>
      <c r="C133"/>
      <c r="D133"/>
      <c r="E133" s="7"/>
      <c r="F133"/>
      <c r="G133"/>
      <c r="H133" s="10"/>
      <c r="I133" s="10"/>
      <c r="J133" s="10"/>
      <c r="K133" s="10"/>
      <c r="L133" s="10"/>
      <c r="M133" s="51"/>
    </row>
    <row r="134" spans="1:13" x14ac:dyDescent="0.2">
      <c r="A134"/>
      <c r="B134"/>
      <c r="C134"/>
      <c r="D134"/>
      <c r="E134" s="7"/>
      <c r="F134"/>
      <c r="G134"/>
      <c r="H134" s="10"/>
      <c r="I134" s="10"/>
      <c r="J134" s="10"/>
      <c r="K134" s="10"/>
      <c r="L134" s="10"/>
      <c r="M134" s="51"/>
    </row>
    <row r="135" spans="1:13" x14ac:dyDescent="0.2">
      <c r="A135"/>
      <c r="B135"/>
      <c r="C135"/>
      <c r="D135"/>
      <c r="E135" s="7"/>
      <c r="F135"/>
      <c r="G135"/>
      <c r="H135" s="10"/>
      <c r="I135" s="10"/>
      <c r="J135" s="10"/>
      <c r="K135" s="10"/>
      <c r="L135" s="10"/>
      <c r="M135" s="51"/>
    </row>
    <row r="136" spans="1:13" x14ac:dyDescent="0.2">
      <c r="A136"/>
      <c r="B136"/>
      <c r="C136"/>
      <c r="D136"/>
      <c r="E136" s="7"/>
      <c r="F136"/>
      <c r="G136"/>
      <c r="H136" s="10"/>
      <c r="I136" s="10"/>
      <c r="J136" s="10"/>
      <c r="K136" s="10"/>
      <c r="L136" s="10"/>
      <c r="M136" s="51"/>
    </row>
    <row r="137" spans="1:13" x14ac:dyDescent="0.2">
      <c r="A137"/>
      <c r="B137"/>
      <c r="C137"/>
      <c r="D137"/>
      <c r="E137" s="7"/>
      <c r="F137"/>
      <c r="G137"/>
      <c r="H137" s="10"/>
      <c r="I137" s="10"/>
      <c r="J137" s="10"/>
      <c r="K137" s="10"/>
      <c r="L137" s="10"/>
      <c r="M137" s="51"/>
    </row>
    <row r="138" spans="1:13" x14ac:dyDescent="0.2">
      <c r="A138"/>
      <c r="B138"/>
      <c r="C138"/>
      <c r="D138"/>
      <c r="E138" s="7"/>
      <c r="F138"/>
      <c r="G138"/>
      <c r="H138" s="10"/>
      <c r="I138" s="10"/>
      <c r="J138" s="10"/>
      <c r="K138" s="10"/>
      <c r="L138" s="10"/>
      <c r="M138" s="51"/>
    </row>
    <row r="139" spans="1:13" x14ac:dyDescent="0.2">
      <c r="A139"/>
      <c r="B139"/>
      <c r="C139"/>
      <c r="D139"/>
      <c r="E139" s="7"/>
      <c r="F139"/>
      <c r="G139"/>
      <c r="H139" s="10"/>
      <c r="I139" s="10"/>
      <c r="J139" s="10"/>
      <c r="K139" s="10"/>
      <c r="L139" s="10"/>
      <c r="M139" s="51"/>
    </row>
    <row r="140" spans="1:13" x14ac:dyDescent="0.2">
      <c r="A140"/>
      <c r="B140"/>
      <c r="C140"/>
      <c r="D140"/>
      <c r="E140" s="7"/>
      <c r="F140"/>
      <c r="G140"/>
      <c r="H140" s="10"/>
      <c r="I140" s="10"/>
      <c r="J140" s="10"/>
      <c r="K140" s="10"/>
      <c r="L140" s="10"/>
      <c r="M140" s="51"/>
    </row>
    <row r="141" spans="1:13" x14ac:dyDescent="0.2">
      <c r="A141"/>
      <c r="B141"/>
      <c r="C141"/>
      <c r="D141"/>
      <c r="E141" s="7"/>
      <c r="F141"/>
      <c r="G141"/>
      <c r="H141" s="10"/>
      <c r="I141" s="10"/>
      <c r="J141" s="10"/>
      <c r="K141" s="10"/>
      <c r="L141" s="10"/>
      <c r="M141" s="51"/>
    </row>
    <row r="142" spans="1:13" x14ac:dyDescent="0.2">
      <c r="A142"/>
      <c r="B142"/>
      <c r="C142"/>
      <c r="D142"/>
      <c r="E142" s="7"/>
      <c r="F142"/>
      <c r="G142"/>
      <c r="H142" s="10"/>
      <c r="I142" s="10"/>
      <c r="J142" s="10"/>
      <c r="K142" s="10"/>
      <c r="L142" s="10"/>
      <c r="M142" s="51"/>
    </row>
    <row r="143" spans="1:13" x14ac:dyDescent="0.2">
      <c r="A143"/>
      <c r="B143"/>
      <c r="C143"/>
      <c r="D143"/>
      <c r="E143" s="7"/>
      <c r="F143"/>
      <c r="G143"/>
      <c r="H143" s="10"/>
      <c r="I143" s="10"/>
      <c r="J143" s="10"/>
      <c r="K143" s="10"/>
      <c r="L143" s="10"/>
      <c r="M143" s="51"/>
    </row>
    <row r="144" spans="1:13" x14ac:dyDescent="0.2">
      <c r="A144"/>
      <c r="B144"/>
      <c r="C144"/>
      <c r="D144"/>
      <c r="E144" s="7"/>
      <c r="F144"/>
      <c r="G144"/>
      <c r="H144" s="10"/>
      <c r="I144" s="10"/>
      <c r="J144" s="10"/>
      <c r="K144" s="10"/>
      <c r="L144" s="10"/>
      <c r="M144" s="51"/>
    </row>
    <row r="145" spans="1:13" x14ac:dyDescent="0.2">
      <c r="A145"/>
      <c r="B145"/>
      <c r="C145"/>
      <c r="D145"/>
      <c r="E145" s="7"/>
      <c r="F145"/>
      <c r="G145"/>
      <c r="H145" s="10"/>
      <c r="I145" s="10"/>
      <c r="J145" s="10"/>
      <c r="K145" s="10"/>
      <c r="L145" s="10"/>
      <c r="M145" s="51"/>
    </row>
    <row r="146" spans="1:13" x14ac:dyDescent="0.2">
      <c r="A146"/>
      <c r="B146"/>
      <c r="C146"/>
      <c r="D146"/>
      <c r="E146" s="7"/>
      <c r="F146"/>
      <c r="G146"/>
      <c r="H146" s="10"/>
      <c r="I146" s="10"/>
      <c r="J146" s="10"/>
      <c r="K146" s="10"/>
      <c r="L146" s="10"/>
      <c r="M146" s="51"/>
    </row>
    <row r="147" spans="1:13" x14ac:dyDescent="0.2">
      <c r="A147"/>
      <c r="B147"/>
      <c r="C147"/>
      <c r="D147"/>
      <c r="E147" s="7"/>
      <c r="F147"/>
      <c r="G147"/>
      <c r="H147" s="10"/>
      <c r="I147" s="10"/>
      <c r="J147" s="10"/>
      <c r="K147" s="10"/>
      <c r="L147" s="10"/>
      <c r="M147" s="51"/>
    </row>
    <row r="148" spans="1:13" x14ac:dyDescent="0.2">
      <c r="A148"/>
      <c r="B148"/>
      <c r="C148"/>
      <c r="D148"/>
      <c r="E148" s="7"/>
      <c r="F148"/>
      <c r="G148"/>
      <c r="H148" s="10"/>
      <c r="I148" s="10"/>
      <c r="J148" s="10"/>
      <c r="K148" s="10"/>
      <c r="L148" s="10"/>
      <c r="M148" s="51"/>
    </row>
    <row r="149" spans="1:13" x14ac:dyDescent="0.2">
      <c r="A149"/>
      <c r="B149"/>
      <c r="C149"/>
      <c r="D149"/>
      <c r="E149" s="7"/>
      <c r="F149"/>
      <c r="G149"/>
      <c r="H149" s="10"/>
      <c r="I149" s="10"/>
      <c r="J149" s="10"/>
      <c r="K149" s="10"/>
      <c r="L149" s="10"/>
      <c r="M149" s="51"/>
    </row>
    <row r="150" spans="1:13" x14ac:dyDescent="0.2">
      <c r="A150"/>
      <c r="B150"/>
      <c r="C150"/>
      <c r="D150"/>
      <c r="E150" s="7"/>
      <c r="F150"/>
      <c r="G150"/>
      <c r="H150" s="10"/>
      <c r="I150" s="10"/>
      <c r="J150" s="10"/>
      <c r="K150" s="10"/>
      <c r="L150" s="10"/>
      <c r="M150" s="51"/>
    </row>
    <row r="151" spans="1:13" x14ac:dyDescent="0.2">
      <c r="A151"/>
      <c r="B151"/>
      <c r="C151"/>
      <c r="D151"/>
      <c r="E151" s="7"/>
      <c r="F151"/>
      <c r="G151"/>
      <c r="H151" s="10"/>
      <c r="I151" s="10"/>
      <c r="J151" s="10"/>
      <c r="K151" s="10"/>
      <c r="L151" s="10"/>
      <c r="M151" s="51"/>
    </row>
    <row r="152" spans="1:13" x14ac:dyDescent="0.2">
      <c r="A152"/>
      <c r="B152"/>
      <c r="C152"/>
      <c r="D152"/>
      <c r="E152" s="7"/>
      <c r="F152"/>
      <c r="G152"/>
      <c r="H152" s="10"/>
      <c r="I152" s="10"/>
      <c r="J152" s="10"/>
      <c r="K152" s="10"/>
      <c r="L152" s="10"/>
      <c r="M152" s="51"/>
    </row>
    <row r="153" spans="1:13" x14ac:dyDescent="0.2">
      <c r="A153"/>
      <c r="B153"/>
      <c r="C153"/>
      <c r="D153"/>
      <c r="E153" s="7"/>
      <c r="F153"/>
      <c r="G153"/>
      <c r="H153" s="10"/>
      <c r="I153" s="10"/>
      <c r="J153" s="10"/>
      <c r="K153" s="10"/>
      <c r="L153" s="10"/>
      <c r="M153" s="51"/>
    </row>
    <row r="154" spans="1:13" x14ac:dyDescent="0.2">
      <c r="A154"/>
      <c r="B154"/>
      <c r="C154"/>
      <c r="D154"/>
      <c r="E154" s="7"/>
      <c r="F154"/>
      <c r="G154"/>
      <c r="H154" s="10"/>
      <c r="I154" s="10"/>
      <c r="J154" s="10"/>
      <c r="K154" s="10"/>
      <c r="L154" s="10"/>
      <c r="M154" s="51"/>
    </row>
    <row r="155" spans="1:13" x14ac:dyDescent="0.2">
      <c r="A155"/>
      <c r="B155"/>
      <c r="C155"/>
      <c r="D155"/>
      <c r="E155" s="7"/>
      <c r="F155"/>
      <c r="G155"/>
      <c r="H155" s="10"/>
      <c r="I155" s="10"/>
      <c r="J155" s="10"/>
      <c r="K155" s="10"/>
      <c r="L155" s="10"/>
      <c r="M155" s="51"/>
    </row>
    <row r="156" spans="1:13" x14ac:dyDescent="0.2">
      <c r="A156"/>
      <c r="B156"/>
      <c r="C156"/>
      <c r="D156"/>
      <c r="E156" s="7"/>
      <c r="F156"/>
      <c r="G156"/>
      <c r="H156" s="10"/>
      <c r="I156" s="10"/>
      <c r="J156" s="10"/>
      <c r="K156" s="10"/>
      <c r="L156" s="10"/>
      <c r="M156" s="51"/>
    </row>
    <row r="157" spans="1:13" x14ac:dyDescent="0.2">
      <c r="A157"/>
      <c r="B157"/>
      <c r="C157"/>
      <c r="D157"/>
      <c r="E157" s="7"/>
      <c r="F157"/>
      <c r="G157"/>
      <c r="H157" s="10"/>
      <c r="I157" s="10"/>
      <c r="J157" s="10"/>
      <c r="K157" s="10"/>
      <c r="L157" s="10"/>
      <c r="M157" s="51"/>
    </row>
    <row r="158" spans="1:13" x14ac:dyDescent="0.2">
      <c r="A158"/>
      <c r="B158"/>
      <c r="C158"/>
      <c r="D158"/>
      <c r="E158" s="7"/>
      <c r="F158"/>
      <c r="G158"/>
      <c r="H158" s="10"/>
      <c r="I158" s="10"/>
      <c r="J158" s="10"/>
      <c r="K158" s="10"/>
      <c r="L158" s="10"/>
      <c r="M158" s="51"/>
    </row>
    <row r="159" spans="1:13" x14ac:dyDescent="0.2">
      <c r="A159"/>
      <c r="B159"/>
      <c r="C159"/>
      <c r="D159"/>
      <c r="E159" s="7"/>
      <c r="F159"/>
      <c r="G159"/>
      <c r="H159" s="10"/>
      <c r="I159" s="10"/>
      <c r="J159" s="10"/>
      <c r="K159" s="10"/>
      <c r="L159" s="10"/>
      <c r="M159" s="51"/>
    </row>
    <row r="160" spans="1:13" x14ac:dyDescent="0.2">
      <c r="A160"/>
      <c r="B160"/>
      <c r="C160"/>
      <c r="D160"/>
      <c r="E160" s="7"/>
      <c r="F160"/>
      <c r="G160"/>
      <c r="H160" s="10"/>
      <c r="I160" s="10"/>
      <c r="J160" s="10"/>
      <c r="K160" s="10"/>
      <c r="L160" s="10"/>
      <c r="M160" s="51"/>
    </row>
    <row r="161" spans="1:13" x14ac:dyDescent="0.2">
      <c r="A161"/>
      <c r="B161"/>
      <c r="C161"/>
      <c r="D161"/>
      <c r="E161" s="7"/>
      <c r="F161"/>
      <c r="G161"/>
      <c r="H161" s="10"/>
      <c r="I161" s="10"/>
      <c r="J161" s="10"/>
      <c r="K161" s="10"/>
      <c r="L161" s="10"/>
      <c r="M161" s="51"/>
    </row>
    <row r="162" spans="1:13" x14ac:dyDescent="0.2">
      <c r="A162"/>
      <c r="B162"/>
      <c r="C162"/>
      <c r="D162"/>
      <c r="E162" s="7"/>
      <c r="F162"/>
      <c r="G162"/>
      <c r="H162" s="10"/>
      <c r="I162" s="10"/>
      <c r="J162" s="10"/>
      <c r="K162" s="10"/>
      <c r="L162" s="10"/>
      <c r="M162" s="51"/>
    </row>
    <row r="163" spans="1:13" x14ac:dyDescent="0.2">
      <c r="A163"/>
      <c r="B163"/>
      <c r="C163"/>
      <c r="D163"/>
      <c r="E163" s="7"/>
      <c r="F163"/>
      <c r="G163"/>
      <c r="H163" s="10"/>
      <c r="I163" s="10"/>
      <c r="J163" s="10"/>
      <c r="K163" s="10"/>
      <c r="L163" s="10"/>
      <c r="M163" s="51"/>
    </row>
    <row r="164" spans="1:13" x14ac:dyDescent="0.2">
      <c r="A164"/>
      <c r="B164"/>
      <c r="C164"/>
      <c r="D164"/>
      <c r="E164" s="7"/>
      <c r="F164"/>
      <c r="G164"/>
      <c r="H164" s="10"/>
      <c r="I164" s="10"/>
      <c r="J164" s="10"/>
      <c r="K164" s="10"/>
      <c r="L164" s="10"/>
      <c r="M164" s="51"/>
    </row>
    <row r="165" spans="1:13" x14ac:dyDescent="0.2">
      <c r="A165"/>
      <c r="B165"/>
      <c r="C165"/>
      <c r="D165"/>
      <c r="E165" s="7"/>
      <c r="F165"/>
      <c r="G165"/>
      <c r="H165" s="10"/>
      <c r="I165" s="10"/>
      <c r="J165" s="10"/>
      <c r="K165" s="10"/>
      <c r="L165" s="10"/>
      <c r="M165" s="51"/>
    </row>
    <row r="166" spans="1:13" x14ac:dyDescent="0.2">
      <c r="A166"/>
      <c r="B166"/>
      <c r="C166"/>
      <c r="D166"/>
      <c r="E166" s="7"/>
      <c r="F166"/>
      <c r="G166"/>
      <c r="H166" s="10"/>
      <c r="I166" s="10"/>
      <c r="J166" s="10"/>
      <c r="K166" s="10"/>
      <c r="L166" s="10"/>
      <c r="M166" s="51"/>
    </row>
    <row r="167" spans="1:13" x14ac:dyDescent="0.2">
      <c r="A167"/>
      <c r="B167"/>
      <c r="C167"/>
      <c r="D167"/>
      <c r="E167" s="7"/>
      <c r="F167"/>
      <c r="G167"/>
      <c r="H167" s="10"/>
      <c r="I167" s="10"/>
      <c r="J167" s="10"/>
      <c r="K167" s="10"/>
      <c r="L167" s="10"/>
      <c r="M167" s="51"/>
    </row>
    <row r="168" spans="1:13" x14ac:dyDescent="0.2">
      <c r="A168"/>
      <c r="B168"/>
      <c r="C168"/>
      <c r="D168"/>
      <c r="E168" s="7"/>
      <c r="F168"/>
      <c r="G168"/>
      <c r="H168" s="10"/>
      <c r="I168" s="10"/>
      <c r="J168" s="10"/>
      <c r="K168" s="10"/>
      <c r="L168" s="10"/>
      <c r="M168" s="51"/>
    </row>
    <row r="169" spans="1:13" x14ac:dyDescent="0.2">
      <c r="A169"/>
      <c r="B169"/>
      <c r="C169"/>
      <c r="D169"/>
      <c r="E169" s="7"/>
      <c r="F169"/>
      <c r="G169"/>
      <c r="H169" s="10"/>
      <c r="I169" s="10"/>
      <c r="J169" s="10"/>
      <c r="K169" s="10"/>
      <c r="L169" s="10"/>
      <c r="M169" s="51"/>
    </row>
    <row r="170" spans="1:13" x14ac:dyDescent="0.2">
      <c r="A170"/>
      <c r="B170"/>
      <c r="C170"/>
      <c r="D170"/>
      <c r="E170" s="7"/>
      <c r="F170"/>
      <c r="G170"/>
      <c r="H170" s="10"/>
      <c r="I170" s="10"/>
      <c r="J170" s="10"/>
      <c r="K170" s="10"/>
      <c r="L170" s="10"/>
      <c r="M170" s="51"/>
    </row>
    <row r="171" spans="1:13" x14ac:dyDescent="0.2">
      <c r="A171"/>
      <c r="B171"/>
      <c r="C171"/>
      <c r="D171"/>
      <c r="E171" s="7"/>
      <c r="F171"/>
      <c r="G171"/>
      <c r="H171" s="10"/>
      <c r="I171" s="10"/>
      <c r="J171" s="10"/>
      <c r="K171" s="10"/>
      <c r="L171" s="10"/>
      <c r="M171" s="51"/>
    </row>
    <row r="172" spans="1:13" x14ac:dyDescent="0.2">
      <c r="A172"/>
      <c r="B172"/>
      <c r="C172"/>
      <c r="D172"/>
      <c r="E172" s="7"/>
      <c r="F172"/>
      <c r="G172"/>
      <c r="H172" s="10"/>
      <c r="I172" s="10"/>
      <c r="J172" s="10"/>
      <c r="K172" s="10"/>
      <c r="L172" s="10"/>
      <c r="M172" s="51"/>
    </row>
    <row r="173" spans="1:13" x14ac:dyDescent="0.2">
      <c r="A173"/>
      <c r="B173"/>
      <c r="C173"/>
      <c r="D173"/>
      <c r="E173" s="7"/>
      <c r="F173"/>
      <c r="G173"/>
      <c r="H173" s="10"/>
      <c r="I173" s="10"/>
      <c r="J173" s="10"/>
      <c r="K173" s="10"/>
      <c r="L173" s="10"/>
      <c r="M173" s="51"/>
    </row>
    <row r="174" spans="1:13" x14ac:dyDescent="0.2">
      <c r="A174"/>
      <c r="B174"/>
      <c r="C174"/>
      <c r="D174"/>
      <c r="E174" s="7"/>
      <c r="F174"/>
      <c r="G174"/>
      <c r="H174" s="10"/>
      <c r="I174" s="10"/>
      <c r="J174" s="10"/>
      <c r="K174" s="10"/>
      <c r="L174" s="10"/>
      <c r="M174" s="51"/>
    </row>
    <row r="175" spans="1:13" x14ac:dyDescent="0.2">
      <c r="A175"/>
      <c r="B175"/>
      <c r="C175"/>
      <c r="D175"/>
      <c r="E175" s="7"/>
      <c r="F175"/>
      <c r="G175"/>
      <c r="H175" s="10"/>
      <c r="I175" s="10"/>
      <c r="J175" s="10"/>
      <c r="K175" s="10"/>
      <c r="L175" s="10"/>
      <c r="M175" s="51"/>
    </row>
    <row r="176" spans="1:13" x14ac:dyDescent="0.2">
      <c r="A176"/>
      <c r="B176"/>
      <c r="C176"/>
      <c r="D176"/>
      <c r="E176" s="7"/>
      <c r="F176"/>
      <c r="G176"/>
      <c r="H176" s="10"/>
      <c r="I176" s="10"/>
      <c r="J176" s="10"/>
      <c r="K176" s="10"/>
      <c r="L176" s="10"/>
      <c r="M176" s="51"/>
    </row>
    <row r="177" spans="1:13" x14ac:dyDescent="0.2">
      <c r="A177"/>
      <c r="B177"/>
      <c r="C177"/>
      <c r="D177"/>
      <c r="E177" s="7"/>
      <c r="F177"/>
      <c r="G177"/>
      <c r="H177" s="10"/>
      <c r="I177" s="10"/>
      <c r="J177" s="10"/>
      <c r="K177" s="10"/>
      <c r="L177" s="10"/>
      <c r="M177" s="51"/>
    </row>
    <row r="178" spans="1:13" x14ac:dyDescent="0.2">
      <c r="A178"/>
      <c r="B178"/>
      <c r="C178"/>
      <c r="D178"/>
      <c r="E178" s="7"/>
      <c r="F178"/>
      <c r="G178"/>
      <c r="H178" s="10"/>
      <c r="I178" s="10"/>
      <c r="J178" s="10"/>
      <c r="K178" s="10"/>
      <c r="L178" s="10"/>
      <c r="M178" s="51"/>
    </row>
    <row r="179" spans="1:13" x14ac:dyDescent="0.2">
      <c r="A179"/>
      <c r="B179"/>
      <c r="C179"/>
      <c r="D179"/>
      <c r="E179" s="7"/>
      <c r="F179"/>
      <c r="G179"/>
      <c r="H179" s="10"/>
      <c r="I179" s="10"/>
      <c r="J179" s="10"/>
      <c r="K179" s="10"/>
      <c r="L179" s="10"/>
      <c r="M179" s="51"/>
    </row>
    <row r="180" spans="1:13" x14ac:dyDescent="0.2">
      <c r="A180"/>
      <c r="B180"/>
      <c r="C180"/>
      <c r="D180"/>
      <c r="E180" s="7"/>
      <c r="F180"/>
      <c r="G180"/>
      <c r="H180" s="10"/>
      <c r="I180" s="10"/>
      <c r="J180" s="10"/>
      <c r="K180" s="10"/>
      <c r="L180" s="10"/>
      <c r="M180" s="51"/>
    </row>
    <row r="181" spans="1:13" x14ac:dyDescent="0.2">
      <c r="A181"/>
      <c r="B181"/>
      <c r="C181"/>
      <c r="D181"/>
      <c r="E181" s="7"/>
      <c r="F181"/>
      <c r="G181"/>
      <c r="H181" s="10"/>
      <c r="I181" s="10"/>
      <c r="J181" s="10"/>
      <c r="K181" s="10"/>
      <c r="L181" s="10"/>
      <c r="M181" s="51"/>
    </row>
    <row r="182" spans="1:13" x14ac:dyDescent="0.2">
      <c r="A182"/>
      <c r="B182"/>
      <c r="C182"/>
      <c r="D182"/>
      <c r="E182" s="7"/>
      <c r="F182"/>
      <c r="G182"/>
      <c r="H182" s="10"/>
      <c r="I182" s="10"/>
      <c r="J182" s="10"/>
      <c r="K182" s="10"/>
      <c r="L182" s="10"/>
      <c r="M182" s="51"/>
    </row>
    <row r="183" spans="1:13" x14ac:dyDescent="0.2">
      <c r="A183"/>
      <c r="B183"/>
      <c r="C183"/>
      <c r="D183"/>
      <c r="E183" s="7"/>
      <c r="F183"/>
      <c r="G183"/>
      <c r="H183" s="10"/>
      <c r="I183" s="10"/>
      <c r="J183" s="10"/>
      <c r="K183" s="10"/>
      <c r="L183" s="10"/>
      <c r="M183" s="51"/>
    </row>
    <row r="184" spans="1:13" x14ac:dyDescent="0.2">
      <c r="A184"/>
      <c r="B184"/>
      <c r="C184"/>
      <c r="D184"/>
      <c r="E184" s="7"/>
      <c r="F184"/>
      <c r="G184"/>
      <c r="H184" s="10"/>
      <c r="I184" s="10"/>
      <c r="J184" s="10"/>
      <c r="K184" s="10"/>
      <c r="L184" s="10"/>
      <c r="M184" s="51"/>
    </row>
    <row r="185" spans="1:13" x14ac:dyDescent="0.2">
      <c r="A185"/>
      <c r="B185"/>
      <c r="C185"/>
      <c r="D185"/>
      <c r="E185" s="7"/>
      <c r="F185"/>
      <c r="G185"/>
      <c r="H185" s="10"/>
      <c r="I185" s="10"/>
      <c r="J185" s="10"/>
      <c r="K185" s="10"/>
      <c r="L185" s="10"/>
      <c r="M185" s="51"/>
    </row>
    <row r="186" spans="1:13" x14ac:dyDescent="0.2">
      <c r="A186"/>
      <c r="B186"/>
      <c r="C186"/>
      <c r="D186"/>
      <c r="E186" s="7"/>
      <c r="F186"/>
      <c r="G186"/>
      <c r="H186" s="10"/>
      <c r="I186" s="10"/>
      <c r="J186" s="10"/>
      <c r="K186" s="10"/>
      <c r="L186" s="10"/>
      <c r="M186" s="51"/>
    </row>
    <row r="187" spans="1:13" x14ac:dyDescent="0.2">
      <c r="A187"/>
      <c r="B187"/>
      <c r="C187"/>
      <c r="D187"/>
      <c r="E187" s="7"/>
      <c r="F187"/>
      <c r="G187"/>
      <c r="H187" s="10"/>
      <c r="I187" s="10"/>
      <c r="J187" s="10"/>
      <c r="K187" s="10"/>
      <c r="L187" s="10"/>
      <c r="M187" s="51"/>
    </row>
    <row r="188" spans="1:13" x14ac:dyDescent="0.2">
      <c r="A188"/>
      <c r="B188"/>
      <c r="C188"/>
      <c r="D188"/>
      <c r="E188" s="7"/>
      <c r="F188"/>
      <c r="G188"/>
      <c r="H188" s="10"/>
      <c r="I188" s="10"/>
      <c r="J188" s="10"/>
      <c r="K188" s="10"/>
      <c r="L188" s="10"/>
      <c r="M188" s="51"/>
    </row>
    <row r="189" spans="1:13" x14ac:dyDescent="0.2">
      <c r="A189"/>
      <c r="B189"/>
      <c r="C189"/>
      <c r="D189"/>
      <c r="E189" s="7"/>
      <c r="F189"/>
      <c r="G189"/>
      <c r="H189" s="10"/>
      <c r="I189" s="10"/>
      <c r="J189" s="10"/>
      <c r="K189" s="10"/>
      <c r="L189" s="10"/>
      <c r="M189" s="51"/>
    </row>
    <row r="190" spans="1:13" x14ac:dyDescent="0.2">
      <c r="A190"/>
      <c r="B190"/>
      <c r="C190"/>
      <c r="D190"/>
      <c r="E190" s="7"/>
      <c r="F190"/>
      <c r="G190"/>
      <c r="H190" s="10"/>
      <c r="I190" s="10"/>
      <c r="J190" s="10"/>
      <c r="K190" s="10"/>
      <c r="L190" s="10"/>
      <c r="M190" s="51"/>
    </row>
    <row r="191" spans="1:13" x14ac:dyDescent="0.2">
      <c r="A191"/>
      <c r="B191"/>
      <c r="C191"/>
      <c r="D191"/>
      <c r="E191" s="7"/>
      <c r="F191"/>
      <c r="G191"/>
      <c r="H191" s="10"/>
      <c r="I191" s="10"/>
      <c r="J191" s="10"/>
      <c r="K191" s="10"/>
      <c r="L191" s="10"/>
      <c r="M191" s="51"/>
    </row>
    <row r="192" spans="1:13" x14ac:dyDescent="0.2">
      <c r="A192"/>
      <c r="B192"/>
      <c r="C192"/>
      <c r="D192"/>
      <c r="E192" s="7"/>
      <c r="F192"/>
      <c r="G192"/>
      <c r="H192" s="10"/>
      <c r="I192" s="10"/>
      <c r="J192" s="10"/>
      <c r="K192" s="10"/>
      <c r="L192" s="10"/>
      <c r="M192" s="51"/>
    </row>
    <row r="193" spans="1:13" x14ac:dyDescent="0.2">
      <c r="A193"/>
      <c r="B193"/>
      <c r="C193"/>
      <c r="D193"/>
      <c r="E193" s="7"/>
      <c r="F193"/>
      <c r="G193"/>
      <c r="H193" s="10"/>
      <c r="I193" s="10"/>
      <c r="J193" s="10"/>
      <c r="K193" s="10"/>
      <c r="L193" s="10"/>
      <c r="M193" s="51"/>
    </row>
    <row r="194" spans="1:13" x14ac:dyDescent="0.2">
      <c r="A194"/>
      <c r="B194"/>
      <c r="C194"/>
      <c r="D194"/>
      <c r="E194" s="7"/>
      <c r="F194"/>
      <c r="G194"/>
      <c r="H194" s="10"/>
      <c r="I194" s="10"/>
      <c r="J194" s="10"/>
      <c r="K194" s="10"/>
      <c r="L194" s="10"/>
      <c r="M194" s="51"/>
    </row>
    <row r="195" spans="1:13" x14ac:dyDescent="0.2">
      <c r="A195"/>
      <c r="B195"/>
      <c r="C195"/>
      <c r="D195"/>
      <c r="E195" s="7"/>
      <c r="F195"/>
      <c r="G195"/>
      <c r="H195" s="10"/>
      <c r="I195" s="10"/>
      <c r="J195" s="10"/>
      <c r="K195" s="10"/>
      <c r="L195" s="10"/>
      <c r="M195" s="51"/>
    </row>
    <row r="196" spans="1:13" x14ac:dyDescent="0.2">
      <c r="A196"/>
      <c r="B196"/>
      <c r="C196"/>
      <c r="D196"/>
      <c r="E196" s="7"/>
      <c r="F196"/>
      <c r="G196"/>
      <c r="H196" s="10"/>
      <c r="I196" s="10"/>
      <c r="J196" s="10"/>
      <c r="K196" s="10"/>
      <c r="L196" s="10"/>
      <c r="M196" s="51"/>
    </row>
    <row r="197" spans="1:13" x14ac:dyDescent="0.2">
      <c r="A197"/>
      <c r="B197"/>
      <c r="C197"/>
      <c r="D197"/>
      <c r="E197" s="7"/>
      <c r="F197"/>
      <c r="G197"/>
      <c r="H197" s="10"/>
      <c r="I197" s="10"/>
      <c r="J197" s="10"/>
      <c r="K197" s="10"/>
      <c r="L197" s="10"/>
      <c r="M197" s="51"/>
    </row>
    <row r="198" spans="1:13" x14ac:dyDescent="0.2">
      <c r="A198"/>
      <c r="B198"/>
      <c r="C198"/>
      <c r="D198"/>
      <c r="E198" s="7"/>
      <c r="F198"/>
      <c r="G198"/>
      <c r="H198" s="10"/>
      <c r="I198" s="10"/>
      <c r="J198" s="10"/>
      <c r="K198" s="10"/>
      <c r="L198" s="10"/>
      <c r="M198" s="51"/>
    </row>
    <row r="199" spans="1:13" x14ac:dyDescent="0.2">
      <c r="A199"/>
      <c r="B199"/>
      <c r="C199"/>
      <c r="D199"/>
      <c r="E199" s="7"/>
      <c r="F199"/>
      <c r="G199"/>
      <c r="H199" s="10"/>
      <c r="I199" s="10"/>
      <c r="J199" s="10"/>
      <c r="K199" s="10"/>
      <c r="L199" s="10"/>
      <c r="M199" s="51"/>
    </row>
    <row r="200" spans="1:13" x14ac:dyDescent="0.2">
      <c r="A200"/>
      <c r="B200"/>
      <c r="C200"/>
      <c r="D200"/>
      <c r="E200" s="7"/>
      <c r="F200"/>
      <c r="G200"/>
      <c r="H200" s="10"/>
      <c r="I200" s="10"/>
      <c r="J200" s="10"/>
      <c r="K200" s="10"/>
      <c r="L200" s="10"/>
      <c r="M200" s="51"/>
    </row>
    <row r="201" spans="1:13" x14ac:dyDescent="0.2">
      <c r="A201"/>
      <c r="B201"/>
      <c r="C201"/>
      <c r="D201"/>
      <c r="E201" s="7"/>
      <c r="F201"/>
      <c r="G201"/>
      <c r="H201" s="10"/>
      <c r="I201" s="10"/>
      <c r="J201" s="10"/>
      <c r="K201" s="10"/>
      <c r="L201" s="10"/>
      <c r="M201" s="51"/>
    </row>
    <row r="202" spans="1:13" x14ac:dyDescent="0.2">
      <c r="A202"/>
      <c r="B202"/>
      <c r="C202"/>
      <c r="D202"/>
      <c r="E202" s="7"/>
      <c r="F202"/>
      <c r="G202"/>
      <c r="H202" s="10"/>
      <c r="I202" s="10"/>
      <c r="J202" s="10"/>
      <c r="K202" s="10"/>
      <c r="L202" s="10"/>
      <c r="M202" s="51"/>
    </row>
    <row r="203" spans="1:13" x14ac:dyDescent="0.2">
      <c r="A203"/>
      <c r="B203"/>
      <c r="C203"/>
      <c r="D203"/>
      <c r="E203" s="7"/>
      <c r="F203"/>
      <c r="G203"/>
      <c r="H203" s="10"/>
      <c r="I203" s="10"/>
      <c r="J203" s="10"/>
      <c r="K203" s="10"/>
      <c r="L203" s="10"/>
      <c r="M203" s="51"/>
    </row>
    <row r="204" spans="1:13" x14ac:dyDescent="0.2">
      <c r="A204"/>
      <c r="B204"/>
      <c r="C204"/>
      <c r="D204"/>
      <c r="E204" s="7"/>
      <c r="F204"/>
      <c r="G204"/>
      <c r="H204" s="10"/>
      <c r="I204" s="10"/>
      <c r="J204" s="10"/>
      <c r="K204" s="10"/>
      <c r="L204" s="10"/>
      <c r="M204" s="51"/>
    </row>
    <row r="205" spans="1:13" x14ac:dyDescent="0.2">
      <c r="A205"/>
      <c r="B205"/>
      <c r="C205"/>
      <c r="D205"/>
      <c r="E205" s="7"/>
      <c r="F205"/>
      <c r="G205"/>
      <c r="H205" s="10"/>
      <c r="I205" s="10"/>
      <c r="J205" s="10"/>
      <c r="K205" s="10"/>
      <c r="L205" s="10"/>
      <c r="M205" s="51"/>
    </row>
    <row r="206" spans="1:13" x14ac:dyDescent="0.2">
      <c r="A206"/>
      <c r="B206"/>
      <c r="C206"/>
      <c r="D206"/>
      <c r="E206" s="7"/>
      <c r="F206"/>
      <c r="G206"/>
      <c r="H206" s="10"/>
      <c r="I206" s="10"/>
      <c r="J206" s="10"/>
      <c r="K206" s="10"/>
      <c r="L206" s="10"/>
      <c r="M206" s="51"/>
    </row>
    <row r="207" spans="1:13" x14ac:dyDescent="0.2">
      <c r="A207"/>
      <c r="B207"/>
      <c r="C207"/>
      <c r="D207"/>
      <c r="E207" s="7"/>
      <c r="F207"/>
      <c r="G207"/>
      <c r="H207" s="10"/>
      <c r="I207" s="10"/>
      <c r="J207" s="10"/>
      <c r="K207" s="10"/>
      <c r="L207" s="10"/>
      <c r="M207" s="51"/>
    </row>
    <row r="208" spans="1:13" x14ac:dyDescent="0.2">
      <c r="A208"/>
      <c r="B208"/>
      <c r="C208"/>
      <c r="D208"/>
      <c r="E208" s="7"/>
      <c r="F208"/>
      <c r="G208"/>
      <c r="H208" s="10"/>
      <c r="I208" s="10"/>
      <c r="J208" s="10"/>
      <c r="K208" s="10"/>
      <c r="L208" s="10"/>
      <c r="M208" s="51"/>
    </row>
    <row r="209" spans="1:13" x14ac:dyDescent="0.2">
      <c r="A209"/>
      <c r="B209"/>
      <c r="C209"/>
      <c r="D209"/>
      <c r="E209" s="7"/>
      <c r="F209"/>
      <c r="G209"/>
      <c r="H209" s="10"/>
      <c r="I209" s="10"/>
      <c r="J209" s="10"/>
      <c r="K209" s="10"/>
      <c r="L209" s="10"/>
      <c r="M209" s="51"/>
    </row>
    <row r="210" spans="1:13" x14ac:dyDescent="0.2">
      <c r="A210"/>
      <c r="B210"/>
      <c r="C210"/>
      <c r="D210"/>
      <c r="E210" s="7"/>
      <c r="F210"/>
      <c r="G210"/>
      <c r="H210" s="10"/>
      <c r="I210" s="10"/>
      <c r="J210" s="10"/>
      <c r="K210" s="10"/>
      <c r="L210" s="10"/>
      <c r="M210" s="51"/>
    </row>
    <row r="211" spans="1:13" x14ac:dyDescent="0.2">
      <c r="A211"/>
      <c r="B211"/>
      <c r="C211"/>
      <c r="D211"/>
      <c r="E211" s="7"/>
      <c r="F211"/>
      <c r="G211"/>
      <c r="H211" s="10"/>
      <c r="I211" s="10"/>
      <c r="J211" s="10"/>
      <c r="K211" s="10"/>
      <c r="L211" s="10"/>
      <c r="M211" s="51"/>
    </row>
    <row r="212" spans="1:13" x14ac:dyDescent="0.2">
      <c r="A212"/>
      <c r="B212"/>
      <c r="C212"/>
      <c r="D212"/>
      <c r="E212" s="7"/>
      <c r="F212"/>
      <c r="G212"/>
      <c r="H212" s="10"/>
      <c r="I212" s="10"/>
      <c r="J212" s="10"/>
      <c r="K212" s="10"/>
      <c r="L212" s="10"/>
      <c r="M212" s="51"/>
    </row>
    <row r="213" spans="1:13" x14ac:dyDescent="0.2">
      <c r="A213"/>
      <c r="B213"/>
      <c r="C213"/>
      <c r="D213"/>
      <c r="E213" s="7"/>
      <c r="F213"/>
      <c r="G213"/>
      <c r="H213" s="10"/>
      <c r="I213" s="10"/>
      <c r="J213" s="10"/>
      <c r="K213" s="10"/>
      <c r="L213" s="10"/>
      <c r="M213" s="51"/>
    </row>
    <row r="214" spans="1:13" x14ac:dyDescent="0.2">
      <c r="A214"/>
      <c r="B214"/>
      <c r="C214"/>
      <c r="D214"/>
      <c r="E214" s="7"/>
      <c r="F214"/>
      <c r="G214"/>
      <c r="H214" s="10"/>
      <c r="I214" s="10"/>
      <c r="J214" s="10"/>
      <c r="K214" s="10"/>
      <c r="L214" s="10"/>
      <c r="M214" s="51"/>
    </row>
    <row r="215" spans="1:13" x14ac:dyDescent="0.2">
      <c r="A215"/>
      <c r="B215"/>
      <c r="C215"/>
      <c r="D215"/>
      <c r="E215" s="7"/>
      <c r="F215"/>
      <c r="G215"/>
      <c r="H215" s="10"/>
      <c r="I215" s="10"/>
      <c r="J215" s="10"/>
      <c r="K215" s="10"/>
      <c r="L215" s="10"/>
      <c r="M215" s="51"/>
    </row>
    <row r="216" spans="1:13" x14ac:dyDescent="0.2">
      <c r="A216"/>
      <c r="B216"/>
      <c r="C216"/>
      <c r="D216"/>
      <c r="E216" s="7"/>
      <c r="F216"/>
      <c r="G216"/>
      <c r="H216" s="10"/>
      <c r="I216" s="10"/>
      <c r="J216" s="10"/>
      <c r="K216" s="10"/>
      <c r="L216" s="10"/>
      <c r="M216" s="51"/>
    </row>
    <row r="217" spans="1:13" x14ac:dyDescent="0.2">
      <c r="A217"/>
      <c r="B217"/>
      <c r="C217"/>
      <c r="D217"/>
      <c r="E217" s="7"/>
      <c r="F217"/>
      <c r="G217"/>
      <c r="H217" s="10"/>
      <c r="I217" s="10"/>
      <c r="J217" s="10"/>
      <c r="K217" s="10"/>
      <c r="L217" s="10"/>
      <c r="M217" s="51"/>
    </row>
    <row r="218" spans="1:13" x14ac:dyDescent="0.2">
      <c r="A218"/>
      <c r="B218"/>
      <c r="C218"/>
      <c r="D218"/>
      <c r="E218" s="7"/>
      <c r="F218"/>
      <c r="G218"/>
      <c r="H218" s="10"/>
      <c r="I218" s="10"/>
      <c r="J218" s="10"/>
      <c r="K218" s="10"/>
      <c r="L218" s="10"/>
      <c r="M218" s="51"/>
    </row>
    <row r="219" spans="1:13" x14ac:dyDescent="0.2">
      <c r="A219"/>
      <c r="B219"/>
      <c r="C219"/>
      <c r="D219"/>
      <c r="E219" s="7"/>
      <c r="F219"/>
      <c r="G219"/>
      <c r="H219" s="10"/>
      <c r="I219" s="10"/>
      <c r="J219" s="10"/>
      <c r="K219" s="10"/>
      <c r="L219" s="10"/>
      <c r="M219" s="51"/>
    </row>
    <row r="220" spans="1:13" x14ac:dyDescent="0.2">
      <c r="A220"/>
      <c r="B220"/>
      <c r="C220"/>
      <c r="D220"/>
      <c r="E220" s="7"/>
      <c r="F220"/>
      <c r="G220"/>
      <c r="H220" s="10"/>
      <c r="I220" s="10"/>
      <c r="J220" s="10"/>
      <c r="K220" s="10"/>
      <c r="L220" s="10"/>
      <c r="M220" s="51"/>
    </row>
    <row r="221" spans="1:13" x14ac:dyDescent="0.2">
      <c r="A221"/>
      <c r="B221"/>
      <c r="C221"/>
      <c r="D221"/>
      <c r="E221" s="7"/>
      <c r="F221"/>
      <c r="G221"/>
      <c r="H221" s="10"/>
      <c r="I221" s="10"/>
      <c r="J221" s="10"/>
      <c r="K221" s="10"/>
      <c r="L221" s="10"/>
      <c r="M221" s="51"/>
    </row>
    <row r="222" spans="1:13" x14ac:dyDescent="0.2">
      <c r="A222"/>
      <c r="B222"/>
      <c r="C222"/>
      <c r="D222"/>
      <c r="E222" s="7"/>
      <c r="F222"/>
      <c r="G222"/>
      <c r="H222" s="10"/>
      <c r="I222" s="10"/>
      <c r="J222" s="10"/>
      <c r="K222" s="10"/>
      <c r="L222" s="10"/>
      <c r="M222" s="51"/>
    </row>
    <row r="223" spans="1:13" x14ac:dyDescent="0.2">
      <c r="A223"/>
      <c r="B223"/>
      <c r="C223"/>
      <c r="D223"/>
      <c r="E223" s="7"/>
      <c r="F223"/>
      <c r="G223"/>
      <c r="H223" s="10"/>
      <c r="I223" s="10"/>
      <c r="J223" s="10"/>
      <c r="K223" s="10"/>
      <c r="L223" s="10"/>
      <c r="M223" s="51"/>
    </row>
    <row r="224" spans="1:13" x14ac:dyDescent="0.2">
      <c r="A224"/>
      <c r="B224"/>
      <c r="C224"/>
      <c r="D224"/>
      <c r="E224" s="7"/>
      <c r="F224"/>
      <c r="G224"/>
      <c r="H224" s="10"/>
      <c r="I224" s="10"/>
      <c r="J224" s="10"/>
      <c r="K224" s="10"/>
      <c r="L224" s="10"/>
      <c r="M224" s="51"/>
    </row>
    <row r="225" spans="1:13" x14ac:dyDescent="0.2">
      <c r="A225"/>
      <c r="B225"/>
      <c r="C225"/>
      <c r="D225"/>
      <c r="E225" s="7"/>
      <c r="F225"/>
      <c r="G225"/>
      <c r="H225" s="10"/>
      <c r="I225" s="10"/>
      <c r="J225" s="10"/>
      <c r="K225" s="10"/>
      <c r="L225" s="10"/>
      <c r="M225" s="51"/>
    </row>
    <row r="226" spans="1:13" x14ac:dyDescent="0.2">
      <c r="A226"/>
      <c r="B226"/>
      <c r="C226"/>
      <c r="D226"/>
      <c r="E226" s="7"/>
      <c r="F226"/>
      <c r="G226"/>
      <c r="H226" s="10"/>
      <c r="I226" s="10"/>
      <c r="J226" s="10"/>
      <c r="K226" s="10"/>
      <c r="L226" s="10"/>
      <c r="M226" s="51"/>
    </row>
    <row r="227" spans="1:13" x14ac:dyDescent="0.2">
      <c r="A227"/>
      <c r="B227"/>
      <c r="C227"/>
      <c r="D227"/>
      <c r="E227" s="7"/>
      <c r="F227"/>
      <c r="G227"/>
      <c r="H227" s="10"/>
      <c r="I227" s="10"/>
      <c r="J227" s="10"/>
      <c r="K227" s="10"/>
      <c r="L227" s="10"/>
      <c r="M227" s="51"/>
    </row>
    <row r="228" spans="1:13" x14ac:dyDescent="0.2">
      <c r="A228"/>
      <c r="B228"/>
      <c r="C228"/>
      <c r="D228"/>
      <c r="E228" s="7"/>
      <c r="F228"/>
      <c r="G228"/>
      <c r="H228" s="10"/>
      <c r="I228" s="10"/>
      <c r="J228" s="10"/>
      <c r="K228" s="10"/>
      <c r="L228" s="10"/>
      <c r="M228" s="51"/>
    </row>
    <row r="229" spans="1:13" x14ac:dyDescent="0.2">
      <c r="A229"/>
      <c r="B229"/>
      <c r="C229"/>
      <c r="D229"/>
      <c r="E229" s="7"/>
      <c r="F229"/>
      <c r="G229"/>
      <c r="H229" s="10"/>
      <c r="I229" s="10"/>
      <c r="J229" s="10"/>
      <c r="K229" s="10"/>
      <c r="L229" s="10"/>
      <c r="M229" s="51"/>
    </row>
    <row r="230" spans="1:13" x14ac:dyDescent="0.2">
      <c r="A230"/>
      <c r="B230"/>
      <c r="C230"/>
      <c r="D230"/>
      <c r="E230" s="7"/>
      <c r="F230"/>
      <c r="G230"/>
      <c r="H230" s="10"/>
      <c r="I230" s="10"/>
      <c r="J230" s="10"/>
      <c r="K230" s="10"/>
      <c r="L230" s="10"/>
      <c r="M230" s="51"/>
    </row>
    <row r="231" spans="1:13" x14ac:dyDescent="0.2">
      <c r="A231"/>
      <c r="B231"/>
      <c r="C231"/>
      <c r="D231"/>
      <c r="E231" s="7"/>
      <c r="F231"/>
      <c r="G231"/>
      <c r="H231" s="10"/>
      <c r="I231" s="10"/>
      <c r="J231" s="10"/>
      <c r="K231" s="10"/>
      <c r="L231" s="10"/>
      <c r="M231" s="51"/>
    </row>
    <row r="232" spans="1:13" x14ac:dyDescent="0.2">
      <c r="A232"/>
      <c r="B232"/>
      <c r="C232"/>
      <c r="D232"/>
      <c r="E232" s="7"/>
      <c r="F232"/>
      <c r="G232"/>
      <c r="H232" s="10"/>
      <c r="I232" s="10"/>
      <c r="J232" s="10"/>
      <c r="K232" s="10"/>
      <c r="L232" s="10"/>
      <c r="M232" s="51"/>
    </row>
    <row r="233" spans="1:13" x14ac:dyDescent="0.2">
      <c r="A233"/>
      <c r="B233"/>
      <c r="C233"/>
      <c r="D233"/>
      <c r="E233" s="7"/>
      <c r="F233"/>
      <c r="G233"/>
      <c r="H233" s="10"/>
      <c r="I233" s="10"/>
      <c r="J233" s="10"/>
      <c r="K233" s="10"/>
      <c r="L233" s="10"/>
      <c r="M233" s="51"/>
    </row>
    <row r="234" spans="1:13" x14ac:dyDescent="0.2">
      <c r="A234"/>
      <c r="B234"/>
      <c r="C234"/>
      <c r="D234"/>
      <c r="E234" s="7"/>
      <c r="F234"/>
      <c r="G234"/>
      <c r="H234" s="10"/>
      <c r="I234" s="10"/>
      <c r="J234" s="10"/>
      <c r="K234" s="10"/>
      <c r="L234" s="10"/>
      <c r="M234" s="51"/>
    </row>
    <row r="235" spans="1:13" x14ac:dyDescent="0.2">
      <c r="A235"/>
      <c r="B235"/>
      <c r="C235"/>
      <c r="D235"/>
      <c r="E235" s="7"/>
      <c r="F235"/>
      <c r="G235"/>
      <c r="H235" s="10"/>
      <c r="I235" s="10"/>
      <c r="J235" s="10"/>
      <c r="K235" s="10"/>
      <c r="L235" s="10"/>
      <c r="M235" s="51"/>
    </row>
    <row r="236" spans="1:13" x14ac:dyDescent="0.2">
      <c r="A236"/>
      <c r="B236"/>
      <c r="C236"/>
      <c r="D236"/>
      <c r="E236" s="7"/>
      <c r="F236"/>
      <c r="G236"/>
      <c r="H236" s="10"/>
      <c r="I236" s="10"/>
      <c r="J236" s="10"/>
      <c r="K236" s="10"/>
      <c r="L236" s="10"/>
      <c r="M236" s="51"/>
    </row>
    <row r="237" spans="1:13" x14ac:dyDescent="0.2">
      <c r="A237"/>
      <c r="B237"/>
      <c r="C237"/>
      <c r="D237"/>
      <c r="E237" s="7"/>
      <c r="F237"/>
      <c r="G237"/>
      <c r="H237" s="10"/>
      <c r="I237" s="10"/>
      <c r="J237" s="10"/>
      <c r="K237" s="10"/>
      <c r="L237" s="10"/>
      <c r="M237" s="51"/>
    </row>
  </sheetData>
  <autoFilter ref="A1:M237"/>
  <pageMargins left="0.75" right="0.75" top="1" bottom="1" header="0.5" footer="0.5"/>
  <pageSetup scale="7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240"/>
  <sheetViews>
    <sheetView zoomScale="120" zoomScaleNormal="120" workbookViewId="0">
      <pane ySplit="1" topLeftCell="A38" activePane="bottomLeft" state="frozen"/>
      <selection activeCell="L2" sqref="L2"/>
      <selection pane="bottomLeft" activeCell="A56" sqref="A56"/>
    </sheetView>
  </sheetViews>
  <sheetFormatPr defaultColWidth="9.140625" defaultRowHeight="12.75" x14ac:dyDescent="0.2"/>
  <cols>
    <col min="1" max="1" width="10.140625" style="3" customWidth="1"/>
    <col min="2" max="2" width="25.7109375" style="3" customWidth="1"/>
    <col min="3" max="3" width="12" style="3" customWidth="1"/>
    <col min="4" max="4" width="13.7109375" style="3" customWidth="1"/>
    <col min="5" max="5" width="11.42578125" style="8" customWidth="1"/>
    <col min="6" max="7" width="8" style="3" customWidth="1"/>
    <col min="8" max="8" width="8" style="11" customWidth="1"/>
    <col min="9" max="9" width="10.5703125" style="11" customWidth="1"/>
    <col min="10" max="10" width="15.28515625" style="11" customWidth="1"/>
    <col min="11" max="11" width="9.140625" style="11" customWidth="1"/>
    <col min="12" max="12" width="8" style="11" customWidth="1"/>
    <col min="13" max="13" width="116.28515625" style="82" customWidth="1"/>
    <col min="14" max="14" width="27.85546875" style="14" bestFit="1" customWidth="1"/>
    <col min="15" max="16384" width="9.140625" style="3"/>
  </cols>
  <sheetData>
    <row r="1" spans="1:14" s="1" customFormat="1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1" t="s">
        <v>5</v>
      </c>
      <c r="G1" s="1" t="s">
        <v>6</v>
      </c>
      <c r="H1" s="9" t="s">
        <v>7</v>
      </c>
      <c r="I1" s="30" t="s">
        <v>8</v>
      </c>
      <c r="J1" s="30" t="s">
        <v>9</v>
      </c>
      <c r="K1" s="16" t="s">
        <v>10</v>
      </c>
      <c r="L1" s="16" t="s">
        <v>11</v>
      </c>
      <c r="M1" s="77" t="s">
        <v>12</v>
      </c>
      <c r="N1" s="13"/>
    </row>
    <row r="2" spans="1:14" x14ac:dyDescent="0.2">
      <c r="A2" s="18" t="s">
        <v>163</v>
      </c>
      <c r="B2" t="s">
        <v>139</v>
      </c>
      <c r="C2" s="5">
        <v>43510</v>
      </c>
      <c r="D2" s="2" t="s">
        <v>58</v>
      </c>
      <c r="E2" s="7">
        <v>14743</v>
      </c>
      <c r="F2"/>
      <c r="G2"/>
      <c r="H2" s="19">
        <f>-0.15-1.73</f>
        <v>-1.88</v>
      </c>
      <c r="I2" s="33">
        <v>324.89999999999998</v>
      </c>
      <c r="J2" s="14">
        <v>324.39999999999998</v>
      </c>
      <c r="K2" s="24">
        <f>J2-I2</f>
        <v>-0.5</v>
      </c>
      <c r="L2" s="47">
        <v>-908</v>
      </c>
      <c r="M2" s="2" t="s">
        <v>164</v>
      </c>
      <c r="N2" s="3"/>
    </row>
    <row r="3" spans="1:14" x14ac:dyDescent="0.2">
      <c r="A3" s="18" t="s">
        <v>163</v>
      </c>
      <c r="B3" t="s">
        <v>139</v>
      </c>
      <c r="C3" s="5">
        <v>43510</v>
      </c>
      <c r="D3" s="2" t="s">
        <v>46</v>
      </c>
      <c r="E3" s="7">
        <v>13390041</v>
      </c>
      <c r="F3"/>
      <c r="G3"/>
      <c r="H3" s="10">
        <f>-0.15-1.8</f>
        <v>-1.95</v>
      </c>
      <c r="I3" s="10"/>
      <c r="J3" s="10"/>
      <c r="K3" s="10"/>
      <c r="L3" s="10"/>
      <c r="M3" s="81" t="s">
        <v>165</v>
      </c>
    </row>
    <row r="4" spans="1:14" x14ac:dyDescent="0.2">
      <c r="A4" s="18" t="s">
        <v>163</v>
      </c>
      <c r="B4" t="s">
        <v>139</v>
      </c>
      <c r="C4" s="5">
        <v>43510</v>
      </c>
      <c r="D4" s="2" t="s">
        <v>19</v>
      </c>
      <c r="E4" s="12">
        <v>2107</v>
      </c>
      <c r="F4"/>
      <c r="G4"/>
      <c r="H4" s="10"/>
      <c r="I4" s="10"/>
      <c r="J4" s="10"/>
      <c r="K4" s="10"/>
      <c r="L4" s="10"/>
      <c r="M4" s="51"/>
    </row>
    <row r="5" spans="1:14" x14ac:dyDescent="0.2">
      <c r="A5" s="18" t="s">
        <v>163</v>
      </c>
      <c r="B5" t="s">
        <v>139</v>
      </c>
      <c r="C5" s="5">
        <v>43510</v>
      </c>
      <c r="D5" s="2" t="s">
        <v>20</v>
      </c>
      <c r="E5" s="12"/>
      <c r="F5"/>
      <c r="G5"/>
      <c r="H5" s="10">
        <v>-0.34</v>
      </c>
      <c r="I5" s="10"/>
      <c r="J5" s="10"/>
      <c r="K5" s="10"/>
      <c r="L5" s="10"/>
      <c r="M5" s="51"/>
    </row>
    <row r="6" spans="1:14" x14ac:dyDescent="0.2">
      <c r="A6" s="18" t="s">
        <v>163</v>
      </c>
      <c r="B6" t="s">
        <v>139</v>
      </c>
      <c r="C6" s="5">
        <v>43510</v>
      </c>
      <c r="D6" s="2" t="s">
        <v>21</v>
      </c>
      <c r="E6" s="12"/>
      <c r="F6">
        <v>156289</v>
      </c>
      <c r="G6">
        <v>517454</v>
      </c>
      <c r="H6" s="10">
        <v>1.4</v>
      </c>
      <c r="I6" s="10"/>
      <c r="J6" s="10"/>
      <c r="K6" s="10"/>
      <c r="L6" s="10"/>
      <c r="M6" s="81"/>
    </row>
    <row r="7" spans="1:14" x14ac:dyDescent="0.2">
      <c r="A7" s="18" t="s">
        <v>163</v>
      </c>
      <c r="B7" t="s">
        <v>139</v>
      </c>
      <c r="C7" s="5">
        <v>43523</v>
      </c>
      <c r="D7" s="2" t="s">
        <v>21</v>
      </c>
      <c r="E7" s="7"/>
      <c r="F7">
        <v>156289</v>
      </c>
      <c r="G7">
        <v>517454</v>
      </c>
      <c r="H7" s="10">
        <v>1.38</v>
      </c>
      <c r="I7" s="10"/>
      <c r="J7" s="10"/>
      <c r="K7" s="10"/>
      <c r="L7" s="10"/>
      <c r="M7" s="81"/>
    </row>
    <row r="8" spans="1:14" x14ac:dyDescent="0.2">
      <c r="A8" s="18" t="s">
        <v>163</v>
      </c>
      <c r="B8" t="s">
        <v>139</v>
      </c>
      <c r="C8" s="5">
        <v>43523</v>
      </c>
      <c r="D8" s="2" t="s">
        <v>23</v>
      </c>
      <c r="E8" s="7"/>
      <c r="F8"/>
      <c r="G8"/>
      <c r="H8" s="10">
        <v>-1.8</v>
      </c>
      <c r="I8" s="10"/>
      <c r="J8" s="10"/>
      <c r="K8" s="10"/>
      <c r="L8" s="10"/>
      <c r="M8" s="51" t="s">
        <v>50</v>
      </c>
    </row>
    <row r="9" spans="1:14" x14ac:dyDescent="0.2">
      <c r="A9" s="18" t="s">
        <v>163</v>
      </c>
      <c r="B9" t="s">
        <v>139</v>
      </c>
      <c r="C9" s="43">
        <v>43551</v>
      </c>
      <c r="D9" s="2" t="s">
        <v>58</v>
      </c>
      <c r="E9" s="7">
        <v>14743</v>
      </c>
      <c r="F9"/>
      <c r="G9"/>
      <c r="H9" s="19">
        <f>-1.2902-0.565</f>
        <v>-1.8552</v>
      </c>
      <c r="I9" s="33">
        <v>324.89999999999998</v>
      </c>
      <c r="J9" s="14">
        <v>324.39999999999998</v>
      </c>
      <c r="K9" s="24">
        <f>J9-I9</f>
        <v>-0.5</v>
      </c>
      <c r="L9" s="47">
        <v>-908</v>
      </c>
      <c r="M9" s="51"/>
    </row>
    <row r="10" spans="1:14" x14ac:dyDescent="0.2">
      <c r="A10" s="18" t="s">
        <v>163</v>
      </c>
      <c r="B10" t="s">
        <v>139</v>
      </c>
      <c r="C10" s="43">
        <v>43551</v>
      </c>
      <c r="D10" s="2" t="s">
        <v>46</v>
      </c>
      <c r="E10" s="7">
        <v>13390041</v>
      </c>
      <c r="F10"/>
      <c r="G10"/>
      <c r="H10" s="10">
        <f>-1.8635-0.105</f>
        <v>-1.9684999999999999</v>
      </c>
      <c r="I10" s="10"/>
      <c r="J10" s="10"/>
      <c r="K10" s="10"/>
      <c r="L10" s="10"/>
      <c r="M10" s="51"/>
    </row>
    <row r="11" spans="1:14" x14ac:dyDescent="0.2">
      <c r="A11" s="18" t="s">
        <v>163</v>
      </c>
      <c r="B11" t="s">
        <v>139</v>
      </c>
      <c r="C11" s="43">
        <v>43551</v>
      </c>
      <c r="D11" s="2" t="s">
        <v>23</v>
      </c>
      <c r="E11" s="7"/>
      <c r="F11"/>
      <c r="G11"/>
      <c r="H11" s="10">
        <v>-2.2648000000000001</v>
      </c>
      <c r="I11" s="10"/>
      <c r="J11" s="10"/>
      <c r="K11" s="10"/>
      <c r="L11" s="10"/>
      <c r="M11" s="51"/>
    </row>
    <row r="12" spans="1:14" x14ac:dyDescent="0.2">
      <c r="A12" s="18" t="s">
        <v>163</v>
      </c>
      <c r="B12" t="s">
        <v>139</v>
      </c>
      <c r="C12" s="43">
        <v>43551</v>
      </c>
      <c r="D12" s="2" t="s">
        <v>21</v>
      </c>
      <c r="E12" s="7"/>
      <c r="F12">
        <v>156289</v>
      </c>
      <c r="G12">
        <v>517454</v>
      </c>
      <c r="H12" s="10">
        <v>1.3956</v>
      </c>
      <c r="I12" s="10"/>
      <c r="J12" s="10"/>
      <c r="K12" s="10"/>
      <c r="L12" s="10"/>
      <c r="M12" s="51"/>
    </row>
    <row r="13" spans="1:14" x14ac:dyDescent="0.2">
      <c r="A13" s="18" t="s">
        <v>163</v>
      </c>
      <c r="B13" t="s">
        <v>139</v>
      </c>
      <c r="C13" s="43">
        <v>43570</v>
      </c>
      <c r="D13" s="2" t="s">
        <v>58</v>
      </c>
      <c r="E13" s="7">
        <v>14743</v>
      </c>
      <c r="F13"/>
      <c r="G13"/>
      <c r="H13" s="19">
        <f>-0.164-1.73</f>
        <v>-1.8939999999999999</v>
      </c>
      <c r="I13" s="33">
        <v>324.89999999999998</v>
      </c>
      <c r="J13" s="14">
        <v>324.39999999999998</v>
      </c>
      <c r="K13" s="24">
        <f>J13-I13</f>
        <v>-0.5</v>
      </c>
      <c r="L13" s="47">
        <v>-908</v>
      </c>
      <c r="M13" s="51"/>
    </row>
    <row r="14" spans="1:14" x14ac:dyDescent="0.2">
      <c r="A14" s="18" t="s">
        <v>163</v>
      </c>
      <c r="B14" t="s">
        <v>139</v>
      </c>
      <c r="C14" s="43">
        <v>43570</v>
      </c>
      <c r="D14" s="2" t="s">
        <v>46</v>
      </c>
      <c r="E14" s="7">
        <v>13390041</v>
      </c>
      <c r="F14"/>
      <c r="G14"/>
      <c r="H14" s="10">
        <f>-0.164-1.8</f>
        <v>-1.964</v>
      </c>
      <c r="I14" s="10"/>
      <c r="J14" s="10"/>
      <c r="K14" s="10"/>
      <c r="L14" s="10"/>
      <c r="M14" s="51"/>
    </row>
    <row r="15" spans="1:14" x14ac:dyDescent="0.2">
      <c r="A15" s="18" t="s">
        <v>163</v>
      </c>
      <c r="B15" t="s">
        <v>139</v>
      </c>
      <c r="C15" s="43">
        <v>43570</v>
      </c>
      <c r="D15" s="2" t="s">
        <v>23</v>
      </c>
      <c r="E15" s="7"/>
      <c r="F15"/>
      <c r="G15"/>
      <c r="H15" s="10">
        <v>-2.3142</v>
      </c>
      <c r="I15" s="10"/>
      <c r="J15" s="10"/>
      <c r="K15" s="10"/>
      <c r="L15" s="10"/>
      <c r="M15" s="51"/>
    </row>
    <row r="16" spans="1:14" x14ac:dyDescent="0.2">
      <c r="A16" s="18" t="s">
        <v>163</v>
      </c>
      <c r="B16" t="s">
        <v>139</v>
      </c>
      <c r="C16" s="43">
        <v>43570</v>
      </c>
      <c r="D16" s="2" t="s">
        <v>21</v>
      </c>
      <c r="E16" s="7"/>
      <c r="F16">
        <v>156289</v>
      </c>
      <c r="G16">
        <v>517454</v>
      </c>
      <c r="H16" s="10">
        <v>1.3756999999999999</v>
      </c>
      <c r="I16" s="10"/>
      <c r="J16" s="10"/>
      <c r="K16" s="10"/>
      <c r="L16" s="10"/>
      <c r="M16" s="51"/>
    </row>
    <row r="17" spans="1:13" x14ac:dyDescent="0.2">
      <c r="A17" s="18" t="s">
        <v>163</v>
      </c>
      <c r="B17" t="s">
        <v>139</v>
      </c>
      <c r="C17" s="43">
        <v>43606</v>
      </c>
      <c r="D17" s="2" t="s">
        <v>58</v>
      </c>
      <c r="E17" s="7">
        <v>14743</v>
      </c>
      <c r="F17"/>
      <c r="G17"/>
      <c r="H17" s="19">
        <f>-0.1446-1.73</f>
        <v>-1.8746</v>
      </c>
      <c r="I17" s="33">
        <v>324.89999999999998</v>
      </c>
      <c r="J17" s="14">
        <v>324.39999999999998</v>
      </c>
      <c r="K17" s="24">
        <f>J17-I17</f>
        <v>-0.5</v>
      </c>
      <c r="L17" s="47">
        <v>-908</v>
      </c>
      <c r="M17" s="51"/>
    </row>
    <row r="18" spans="1:13" x14ac:dyDescent="0.2">
      <c r="A18" s="18" t="s">
        <v>163</v>
      </c>
      <c r="B18" t="s">
        <v>139</v>
      </c>
      <c r="C18" s="43">
        <v>43606</v>
      </c>
      <c r="D18" s="2" t="s">
        <v>46</v>
      </c>
      <c r="E18" s="7">
        <v>13390041</v>
      </c>
      <c r="F18"/>
      <c r="G18"/>
      <c r="H18" s="10">
        <f>-0.1446-1.8</f>
        <v>-1.9446000000000001</v>
      </c>
      <c r="I18" s="10"/>
      <c r="J18" s="10"/>
      <c r="K18" s="10"/>
      <c r="L18" s="10"/>
      <c r="M18" s="51"/>
    </row>
    <row r="19" spans="1:13" x14ac:dyDescent="0.2">
      <c r="A19" s="18" t="s">
        <v>163</v>
      </c>
      <c r="B19" t="s">
        <v>139</v>
      </c>
      <c r="C19" s="43">
        <v>43606</v>
      </c>
      <c r="D19" s="2" t="s">
        <v>23</v>
      </c>
      <c r="E19" s="7"/>
      <c r="F19"/>
      <c r="G19"/>
      <c r="H19" s="10">
        <v>-2.2797000000000001</v>
      </c>
      <c r="I19" s="10"/>
      <c r="J19" s="10"/>
      <c r="K19" s="10"/>
      <c r="L19" s="10"/>
      <c r="M19" s="51"/>
    </row>
    <row r="20" spans="1:13" x14ac:dyDescent="0.2">
      <c r="A20" s="18" t="s">
        <v>163</v>
      </c>
      <c r="B20" t="s">
        <v>139</v>
      </c>
      <c r="C20" s="43">
        <v>43606</v>
      </c>
      <c r="D20" s="2" t="s">
        <v>21</v>
      </c>
      <c r="E20" s="7"/>
      <c r="F20">
        <v>156289</v>
      </c>
      <c r="G20">
        <v>517454</v>
      </c>
      <c r="H20" s="10">
        <v>1.3972</v>
      </c>
      <c r="I20" s="10"/>
      <c r="J20" s="10"/>
      <c r="K20" s="10"/>
      <c r="L20" s="10"/>
      <c r="M20" s="51" t="s">
        <v>29</v>
      </c>
    </row>
    <row r="21" spans="1:13" x14ac:dyDescent="0.2">
      <c r="A21" s="18" t="s">
        <v>163</v>
      </c>
      <c r="B21" t="s">
        <v>139</v>
      </c>
      <c r="C21" s="43">
        <v>43634</v>
      </c>
      <c r="D21" s="2" t="s">
        <v>58</v>
      </c>
      <c r="E21" s="7">
        <v>14743</v>
      </c>
      <c r="F21"/>
      <c r="G21"/>
      <c r="H21" s="19">
        <f>-0.1446-1.73</f>
        <v>-1.8746</v>
      </c>
      <c r="I21" s="33">
        <v>324.89999999999998</v>
      </c>
      <c r="J21" s="14">
        <v>324.39999999999998</v>
      </c>
      <c r="K21" s="24">
        <f>J21-I21</f>
        <v>-0.5</v>
      </c>
      <c r="L21" s="47">
        <v>-908</v>
      </c>
      <c r="M21" s="45">
        <f>-0.1634-1.73</f>
        <v>-1.8934</v>
      </c>
    </row>
    <row r="22" spans="1:13" x14ac:dyDescent="0.2">
      <c r="A22" s="18" t="s">
        <v>163</v>
      </c>
      <c r="B22" t="s">
        <v>139</v>
      </c>
      <c r="C22" s="43">
        <v>43634</v>
      </c>
      <c r="D22" s="2" t="s">
        <v>46</v>
      </c>
      <c r="E22" s="7">
        <v>13390041</v>
      </c>
      <c r="F22"/>
      <c r="G22"/>
      <c r="H22" s="10">
        <f>-0.1446-1.8</f>
        <v>-1.9446000000000001</v>
      </c>
      <c r="I22" s="10"/>
      <c r="J22" s="10"/>
      <c r="K22" s="10"/>
      <c r="L22" s="10"/>
      <c r="M22" s="46">
        <f>-0.1634-1.8</f>
        <v>-1.9634</v>
      </c>
    </row>
    <row r="23" spans="1:13" x14ac:dyDescent="0.2">
      <c r="A23" s="18" t="s">
        <v>163</v>
      </c>
      <c r="B23" t="s">
        <v>139</v>
      </c>
      <c r="C23" s="43">
        <v>43634</v>
      </c>
      <c r="D23" s="2" t="s">
        <v>23</v>
      </c>
      <c r="E23" s="7"/>
      <c r="F23"/>
      <c r="G23"/>
      <c r="H23" s="10">
        <v>-2.2991000000000001</v>
      </c>
      <c r="I23" s="10"/>
      <c r="J23" s="10"/>
      <c r="K23" s="10"/>
      <c r="L23" s="10"/>
      <c r="M23" s="46">
        <v>-2.2991000000000001</v>
      </c>
    </row>
    <row r="24" spans="1:13" x14ac:dyDescent="0.2">
      <c r="A24" s="18" t="s">
        <v>163</v>
      </c>
      <c r="B24" t="s">
        <v>139</v>
      </c>
      <c r="C24" s="43">
        <v>43634</v>
      </c>
      <c r="D24" s="2" t="s">
        <v>21</v>
      </c>
      <c r="E24" s="7"/>
      <c r="F24">
        <v>156289</v>
      </c>
      <c r="G24">
        <v>517454</v>
      </c>
      <c r="H24" s="10">
        <v>1.3972</v>
      </c>
      <c r="I24" s="10"/>
      <c r="J24" s="10"/>
      <c r="K24" s="10"/>
      <c r="L24" s="10"/>
      <c r="M24" s="46">
        <v>1.4208000000000001</v>
      </c>
    </row>
    <row r="25" spans="1:13" x14ac:dyDescent="0.2">
      <c r="A25" s="18" t="s">
        <v>163</v>
      </c>
      <c r="B25" t="s">
        <v>139</v>
      </c>
      <c r="C25" s="43">
        <v>43663</v>
      </c>
      <c r="D25" s="2" t="s">
        <v>58</v>
      </c>
      <c r="E25" s="7">
        <v>14743</v>
      </c>
      <c r="F25"/>
      <c r="G25"/>
      <c r="H25" s="19">
        <f>-0.1446-1.73</f>
        <v>-1.8746</v>
      </c>
      <c r="I25" s="33">
        <v>324.89999999999998</v>
      </c>
      <c r="J25" s="14">
        <v>324.39999999999998</v>
      </c>
      <c r="K25" s="24">
        <f>J25-I25</f>
        <v>-0.5</v>
      </c>
      <c r="L25" s="47">
        <v>-908</v>
      </c>
      <c r="M25" s="45">
        <f>-0.1627-1.73</f>
        <v>-1.8927</v>
      </c>
    </row>
    <row r="26" spans="1:13" x14ac:dyDescent="0.2">
      <c r="A26" s="18" t="s">
        <v>163</v>
      </c>
      <c r="B26" t="s">
        <v>139</v>
      </c>
      <c r="C26" s="43">
        <v>43663</v>
      </c>
      <c r="D26" s="2" t="s">
        <v>46</v>
      </c>
      <c r="E26" s="7">
        <v>13390041</v>
      </c>
      <c r="F26"/>
      <c r="G26"/>
      <c r="H26" s="10">
        <f>-0.1446-1.8</f>
        <v>-1.9446000000000001</v>
      </c>
      <c r="I26" s="10"/>
      <c r="J26" s="10"/>
      <c r="K26" s="10"/>
      <c r="L26" s="10"/>
      <c r="M26" s="46">
        <f>-0.1627-1.8</f>
        <v>-1.9627000000000001</v>
      </c>
    </row>
    <row r="27" spans="1:13" x14ac:dyDescent="0.2">
      <c r="A27" s="18" t="s">
        <v>163</v>
      </c>
      <c r="B27" t="s">
        <v>139</v>
      </c>
      <c r="C27" s="43">
        <v>43663</v>
      </c>
      <c r="D27" s="2" t="s">
        <v>23</v>
      </c>
      <c r="E27" s="7"/>
      <c r="F27"/>
      <c r="G27"/>
      <c r="H27" s="10">
        <v>-2.3645</v>
      </c>
      <c r="I27" s="10"/>
      <c r="J27" s="10"/>
      <c r="K27" s="10"/>
      <c r="L27" s="10"/>
      <c r="M27" s="46">
        <v>-2.3645</v>
      </c>
    </row>
    <row r="28" spans="1:13" x14ac:dyDescent="0.2">
      <c r="A28" s="18" t="s">
        <v>163</v>
      </c>
      <c r="B28" t="s">
        <v>139</v>
      </c>
      <c r="C28" s="43">
        <v>43663</v>
      </c>
      <c r="D28" s="2" t="s">
        <v>21</v>
      </c>
      <c r="E28" s="7"/>
      <c r="F28">
        <v>156289</v>
      </c>
      <c r="G28">
        <v>517454</v>
      </c>
      <c r="H28" s="10">
        <v>1.3972</v>
      </c>
      <c r="I28" s="10"/>
      <c r="J28" s="10"/>
      <c r="K28" s="10"/>
      <c r="L28" s="10"/>
      <c r="M28" s="46">
        <v>1.3842000000000001</v>
      </c>
    </row>
    <row r="29" spans="1:13" x14ac:dyDescent="0.2">
      <c r="A29" s="18" t="s">
        <v>163</v>
      </c>
      <c r="B29" t="s">
        <v>139</v>
      </c>
      <c r="C29" s="43">
        <v>43689</v>
      </c>
      <c r="D29" s="2" t="s">
        <v>58</v>
      </c>
      <c r="E29" s="7">
        <v>14743</v>
      </c>
      <c r="F29"/>
      <c r="G29"/>
      <c r="H29" s="19">
        <f>-0.13-1.73</f>
        <v>-1.8599999999999999</v>
      </c>
      <c r="I29" s="33">
        <v>324.89999999999998</v>
      </c>
      <c r="J29" s="14">
        <v>324.39999999999998</v>
      </c>
      <c r="K29" s="24">
        <f>J29-I29</f>
        <v>-0.5</v>
      </c>
      <c r="L29" s="47">
        <v>-908</v>
      </c>
      <c r="M29" s="45"/>
    </row>
    <row r="30" spans="1:13" x14ac:dyDescent="0.2">
      <c r="A30" s="18" t="s">
        <v>163</v>
      </c>
      <c r="B30" t="s">
        <v>139</v>
      </c>
      <c r="C30" s="43">
        <v>43689</v>
      </c>
      <c r="D30" s="2" t="s">
        <v>46</v>
      </c>
      <c r="E30" s="7">
        <v>13390041</v>
      </c>
      <c r="F30"/>
      <c r="G30"/>
      <c r="H30" s="10">
        <f>-0.13-1.8</f>
        <v>-1.9300000000000002</v>
      </c>
      <c r="I30" s="10"/>
      <c r="J30" s="10"/>
      <c r="K30" s="10"/>
      <c r="L30" s="10"/>
      <c r="M30" s="46"/>
    </row>
    <row r="31" spans="1:13" x14ac:dyDescent="0.2">
      <c r="A31" s="18" t="s">
        <v>163</v>
      </c>
      <c r="B31" t="s">
        <v>139</v>
      </c>
      <c r="C31" s="43">
        <v>43689</v>
      </c>
      <c r="D31" s="2" t="s">
        <v>23</v>
      </c>
      <c r="E31" s="7"/>
      <c r="F31"/>
      <c r="G31"/>
      <c r="H31" s="10">
        <v>-2.3029999999999999</v>
      </c>
      <c r="I31" s="10"/>
      <c r="J31" s="10"/>
      <c r="K31" s="10"/>
      <c r="L31" s="10"/>
      <c r="M31" s="46"/>
    </row>
    <row r="32" spans="1:13" x14ac:dyDescent="0.2">
      <c r="A32" s="18" t="s">
        <v>163</v>
      </c>
      <c r="B32" t="s">
        <v>139</v>
      </c>
      <c r="C32" s="43">
        <v>43689</v>
      </c>
      <c r="D32" s="2" t="s">
        <v>21</v>
      </c>
      <c r="E32" s="7"/>
      <c r="F32">
        <v>156289</v>
      </c>
      <c r="G32">
        <v>517454</v>
      </c>
      <c r="H32" s="10">
        <v>1.4139999999999999</v>
      </c>
      <c r="I32" s="10"/>
      <c r="J32" s="10"/>
      <c r="K32" s="10"/>
      <c r="L32" s="10"/>
      <c r="M32" s="46"/>
    </row>
    <row r="33" spans="1:14" s="4" customFormat="1" x14ac:dyDescent="0.2">
      <c r="A33" s="18" t="s">
        <v>163</v>
      </c>
      <c r="B33" t="s">
        <v>139</v>
      </c>
      <c r="C33" s="43">
        <v>43718</v>
      </c>
      <c r="D33" s="2" t="s">
        <v>58</v>
      </c>
      <c r="E33" s="7">
        <v>14743</v>
      </c>
      <c r="F33"/>
      <c r="G33"/>
      <c r="H33" s="19">
        <f>-0.13-1.73</f>
        <v>-1.8599999999999999</v>
      </c>
      <c r="I33" s="33">
        <v>324.89999999999998</v>
      </c>
      <c r="J33" s="14">
        <v>324.39999999999998</v>
      </c>
      <c r="K33" s="24">
        <f>J33-I33</f>
        <v>-0.5</v>
      </c>
      <c r="L33" s="47">
        <v>-908</v>
      </c>
      <c r="M33" s="45">
        <f>-0.1246-1.73</f>
        <v>-1.8546</v>
      </c>
      <c r="N33" s="15"/>
    </row>
    <row r="34" spans="1:14" x14ac:dyDescent="0.2">
      <c r="A34" s="18" t="s">
        <v>163</v>
      </c>
      <c r="B34" t="s">
        <v>139</v>
      </c>
      <c r="C34" s="43">
        <v>43718</v>
      </c>
      <c r="D34" s="2" t="s">
        <v>46</v>
      </c>
      <c r="E34" s="7">
        <v>13390041</v>
      </c>
      <c r="F34"/>
      <c r="G34"/>
      <c r="H34" s="10">
        <f>-0.13-1.8</f>
        <v>-1.9300000000000002</v>
      </c>
      <c r="I34" s="10"/>
      <c r="J34" s="10"/>
      <c r="K34" s="10"/>
      <c r="L34" s="10"/>
      <c r="M34" s="46">
        <f>-0.1246-1.79</f>
        <v>-1.9146000000000001</v>
      </c>
    </row>
    <row r="35" spans="1:14" x14ac:dyDescent="0.2">
      <c r="A35" s="18" t="s">
        <v>163</v>
      </c>
      <c r="B35" t="s">
        <v>139</v>
      </c>
      <c r="C35" s="43">
        <v>43718</v>
      </c>
      <c r="D35" s="2" t="s">
        <v>23</v>
      </c>
      <c r="E35" s="7"/>
      <c r="F35"/>
      <c r="G35"/>
      <c r="H35" s="10">
        <v>-2.3029999999999999</v>
      </c>
      <c r="I35" s="10"/>
      <c r="J35" s="10"/>
      <c r="K35" s="10"/>
      <c r="L35" s="10"/>
      <c r="M35" s="46">
        <v>-2.3027000000000002</v>
      </c>
    </row>
    <row r="36" spans="1:14" s="126" customFormat="1" ht="13.5" thickBot="1" x14ac:dyDescent="0.25">
      <c r="A36" s="117" t="s">
        <v>163</v>
      </c>
      <c r="B36" s="118" t="s">
        <v>139</v>
      </c>
      <c r="C36" s="119">
        <v>43718</v>
      </c>
      <c r="D36" s="120" t="s">
        <v>21</v>
      </c>
      <c r="E36" s="121"/>
      <c r="F36" s="118">
        <v>156289</v>
      </c>
      <c r="G36" s="118">
        <v>517454</v>
      </c>
      <c r="H36" s="123">
        <v>1.4139999999999999</v>
      </c>
      <c r="I36" s="123"/>
      <c r="J36" s="123"/>
      <c r="K36" s="123"/>
      <c r="L36" s="123"/>
      <c r="M36" s="124">
        <v>1.4139999999999999</v>
      </c>
      <c r="N36" s="125"/>
    </row>
    <row r="37" spans="1:14" x14ac:dyDescent="0.2">
      <c r="A37" s="18" t="s">
        <v>163</v>
      </c>
      <c r="B37" s="20" t="s">
        <v>139</v>
      </c>
      <c r="C37" s="43">
        <v>43992</v>
      </c>
      <c r="D37" s="41" t="s">
        <v>58</v>
      </c>
      <c r="E37" s="42">
        <v>14743</v>
      </c>
      <c r="F37" s="20"/>
      <c r="G37" s="20"/>
      <c r="H37" s="19">
        <v>-1.1195999999999999</v>
      </c>
      <c r="I37" s="33">
        <v>324.89999999999998</v>
      </c>
      <c r="J37" s="60">
        <v>324.39999999999998</v>
      </c>
      <c r="K37" s="84">
        <f>J37-I37</f>
        <v>-0.5</v>
      </c>
      <c r="L37" s="93">
        <v>-908</v>
      </c>
      <c r="M37" s="45">
        <f>-0.5546-0.565</f>
        <v>-1.1195999999999999</v>
      </c>
    </row>
    <row r="38" spans="1:14" x14ac:dyDescent="0.2">
      <c r="A38" s="18" t="s">
        <v>163</v>
      </c>
      <c r="B38" s="20" t="s">
        <v>139</v>
      </c>
      <c r="C38" s="43">
        <v>43992</v>
      </c>
      <c r="D38" s="41" t="s">
        <v>46</v>
      </c>
      <c r="E38" s="42">
        <v>13390041</v>
      </c>
      <c r="F38" s="20"/>
      <c r="G38" s="20"/>
      <c r="H38" s="19">
        <v>-1.0638000000000001</v>
      </c>
      <c r="I38" s="19"/>
      <c r="J38" s="19"/>
      <c r="K38" s="19"/>
      <c r="L38" s="19"/>
      <c r="M38" s="45">
        <f>-0.9638-0.1</f>
        <v>-1.0638000000000001</v>
      </c>
    </row>
    <row r="39" spans="1:14" x14ac:dyDescent="0.2">
      <c r="A39" s="18" t="s">
        <v>163</v>
      </c>
      <c r="B39" s="20" t="s">
        <v>139</v>
      </c>
      <c r="C39" s="43">
        <v>43992</v>
      </c>
      <c r="D39" s="41" t="s">
        <v>23</v>
      </c>
      <c r="E39" s="42"/>
      <c r="F39" s="20"/>
      <c r="G39" s="20"/>
      <c r="H39" s="53">
        <v>-2.3153999999999999</v>
      </c>
      <c r="I39" s="19"/>
      <c r="J39" s="19"/>
      <c r="K39" s="19"/>
      <c r="L39" s="19"/>
      <c r="M39" s="45">
        <v>-2.3153999999999999</v>
      </c>
    </row>
    <row r="40" spans="1:14" x14ac:dyDescent="0.2">
      <c r="A40" s="18" t="s">
        <v>163</v>
      </c>
      <c r="B40" s="20" t="s">
        <v>139</v>
      </c>
      <c r="C40" s="43">
        <v>43992</v>
      </c>
      <c r="D40" s="41" t="s">
        <v>21</v>
      </c>
      <c r="E40" s="42"/>
      <c r="F40" s="20">
        <v>156289</v>
      </c>
      <c r="G40" s="20">
        <v>517454</v>
      </c>
      <c r="H40" s="53">
        <v>2.2200000000000002</v>
      </c>
      <c r="I40" s="19"/>
      <c r="J40" s="19"/>
      <c r="K40" s="19"/>
      <c r="L40" s="19"/>
      <c r="M40" s="45">
        <v>2.2200000000000002</v>
      </c>
    </row>
    <row r="41" spans="1:14" x14ac:dyDescent="0.2">
      <c r="A41" s="18" t="s">
        <v>163</v>
      </c>
      <c r="B41" s="20" t="s">
        <v>139</v>
      </c>
      <c r="C41" s="43">
        <v>44026</v>
      </c>
      <c r="D41" s="41" t="s">
        <v>58</v>
      </c>
      <c r="E41" s="42">
        <v>14743</v>
      </c>
      <c r="F41" s="20"/>
      <c r="G41" s="20"/>
      <c r="H41" s="53">
        <v>-1.1195999999999999</v>
      </c>
      <c r="I41" s="33">
        <v>324.89999999999998</v>
      </c>
      <c r="J41" s="60">
        <v>324.39999999999998</v>
      </c>
      <c r="K41" s="84">
        <f>J41-I41</f>
        <v>-0.5</v>
      </c>
      <c r="L41" s="93">
        <v>-897</v>
      </c>
      <c r="M41" s="135">
        <f>-0.3599-0.815</f>
        <v>-1.1749000000000001</v>
      </c>
    </row>
    <row r="42" spans="1:14" x14ac:dyDescent="0.2">
      <c r="A42" s="18" t="s">
        <v>163</v>
      </c>
      <c r="B42" s="20" t="s">
        <v>139</v>
      </c>
      <c r="C42" s="43">
        <v>44026</v>
      </c>
      <c r="D42" s="41" t="s">
        <v>46</v>
      </c>
      <c r="E42" s="42">
        <v>13390037</v>
      </c>
      <c r="F42" s="20"/>
      <c r="G42" s="20"/>
      <c r="H42" s="53">
        <f>-0.3599-0.759</f>
        <v>-1.1189</v>
      </c>
      <c r="I42" s="19"/>
      <c r="J42" s="19"/>
      <c r="K42" s="19"/>
      <c r="L42" s="19"/>
      <c r="M42" s="45">
        <f>-0.3599-0.759</f>
        <v>-1.1189</v>
      </c>
    </row>
    <row r="43" spans="1:14" x14ac:dyDescent="0.2">
      <c r="A43" s="18" t="s">
        <v>163</v>
      </c>
      <c r="B43" s="20" t="s">
        <v>139</v>
      </c>
      <c r="C43" s="43">
        <v>44026</v>
      </c>
      <c r="D43" s="41" t="s">
        <v>23</v>
      </c>
      <c r="E43" s="42"/>
      <c r="F43" s="20"/>
      <c r="G43" s="20"/>
      <c r="H43" s="53">
        <v>-2.3148</v>
      </c>
      <c r="I43" s="19"/>
      <c r="J43" s="19"/>
      <c r="K43" s="19"/>
      <c r="L43" s="19"/>
      <c r="M43" s="45">
        <v>-2.3148</v>
      </c>
    </row>
    <row r="44" spans="1:14" x14ac:dyDescent="0.2">
      <c r="A44" s="18" t="s">
        <v>163</v>
      </c>
      <c r="B44" s="20" t="s">
        <v>139</v>
      </c>
      <c r="C44" s="43">
        <v>44026</v>
      </c>
      <c r="D44" s="41" t="s">
        <v>21</v>
      </c>
      <c r="E44" s="42"/>
      <c r="F44" s="20">
        <v>156289</v>
      </c>
      <c r="G44" s="20">
        <v>517454</v>
      </c>
      <c r="H44" s="53">
        <v>2.1955</v>
      </c>
      <c r="I44" s="19"/>
      <c r="J44" s="19"/>
      <c r="K44" s="19"/>
      <c r="L44" s="19"/>
      <c r="M44" s="45">
        <v>2.1955</v>
      </c>
    </row>
    <row r="45" spans="1:14" x14ac:dyDescent="0.2">
      <c r="A45" t="s">
        <v>163</v>
      </c>
      <c r="B45" t="s">
        <v>139</v>
      </c>
      <c r="C45" s="5">
        <v>44054</v>
      </c>
      <c r="D45" t="s">
        <v>58</v>
      </c>
      <c r="E45" s="7">
        <v>14743</v>
      </c>
      <c r="F45"/>
      <c r="G45"/>
      <c r="H45" s="10">
        <v>-1.2</v>
      </c>
      <c r="I45" s="33">
        <v>324.89999999999998</v>
      </c>
      <c r="J45" s="60">
        <v>324.39999999999998</v>
      </c>
      <c r="K45" s="84">
        <f>J45-I45</f>
        <v>-0.5</v>
      </c>
      <c r="L45" s="93">
        <v>-897</v>
      </c>
      <c r="M45" s="51">
        <v>-1.2</v>
      </c>
    </row>
    <row r="46" spans="1:14" x14ac:dyDescent="0.2">
      <c r="A46" t="s">
        <v>163</v>
      </c>
      <c r="B46" t="s">
        <v>139</v>
      </c>
      <c r="C46" s="5">
        <v>44054</v>
      </c>
      <c r="D46" t="s">
        <v>46</v>
      </c>
      <c r="E46" s="7">
        <v>13390037</v>
      </c>
      <c r="F46"/>
      <c r="G46"/>
      <c r="H46" s="10">
        <v>-1.1200000000000001</v>
      </c>
      <c r="I46" s="10"/>
      <c r="J46" s="10"/>
      <c r="K46" s="10"/>
      <c r="L46" s="10"/>
      <c r="M46" s="51">
        <v>-1.1399999999999999</v>
      </c>
    </row>
    <row r="47" spans="1:14" x14ac:dyDescent="0.2">
      <c r="A47" t="s">
        <v>163</v>
      </c>
      <c r="B47" t="s">
        <v>139</v>
      </c>
      <c r="C47" s="5">
        <v>44054</v>
      </c>
      <c r="D47" t="s">
        <v>23</v>
      </c>
      <c r="E47" s="7"/>
      <c r="F47"/>
      <c r="G47"/>
      <c r="H47" s="10">
        <v>-2.2999999999999998</v>
      </c>
      <c r="I47" s="10"/>
      <c r="J47" s="10"/>
      <c r="K47" s="10"/>
      <c r="L47" s="10"/>
      <c r="M47" s="51">
        <v>-2.2999999999999998</v>
      </c>
    </row>
    <row r="48" spans="1:14" x14ac:dyDescent="0.2">
      <c r="A48" t="s">
        <v>163</v>
      </c>
      <c r="B48" t="s">
        <v>139</v>
      </c>
      <c r="C48" s="5">
        <v>44054</v>
      </c>
      <c r="D48" t="s">
        <v>21</v>
      </c>
      <c r="E48" s="7"/>
      <c r="F48">
        <v>156289</v>
      </c>
      <c r="G48">
        <v>517454</v>
      </c>
      <c r="H48" s="10">
        <v>2.15</v>
      </c>
      <c r="I48" s="10"/>
      <c r="J48" s="10"/>
      <c r="K48" s="10"/>
      <c r="L48" s="19"/>
      <c r="M48" s="45">
        <v>2.15</v>
      </c>
    </row>
    <row r="49" spans="1:14" x14ac:dyDescent="0.2">
      <c r="A49" t="s">
        <v>163</v>
      </c>
      <c r="B49" t="s">
        <v>139</v>
      </c>
      <c r="C49" s="5">
        <v>44083</v>
      </c>
      <c r="D49" t="s">
        <v>58</v>
      </c>
      <c r="E49" s="7">
        <v>14743</v>
      </c>
      <c r="F49"/>
      <c r="G49"/>
      <c r="H49" s="10">
        <v>-1.2</v>
      </c>
      <c r="I49" s="33">
        <v>324.89999999999998</v>
      </c>
      <c r="J49" s="60">
        <v>324.39999999999998</v>
      </c>
      <c r="K49" s="84">
        <f>J49-I49</f>
        <v>-0.5</v>
      </c>
      <c r="L49" s="93">
        <v>-897</v>
      </c>
      <c r="M49" s="45">
        <f>-0.4013-0.815</f>
        <v>-1.2162999999999999</v>
      </c>
    </row>
    <row r="50" spans="1:14" x14ac:dyDescent="0.2">
      <c r="A50" t="s">
        <v>163</v>
      </c>
      <c r="B50" t="s">
        <v>139</v>
      </c>
      <c r="C50" s="5">
        <v>44083</v>
      </c>
      <c r="D50" t="s">
        <v>46</v>
      </c>
      <c r="E50" s="7">
        <v>13390037</v>
      </c>
      <c r="F50"/>
      <c r="G50"/>
      <c r="H50" s="53">
        <f>-0.4013-0.759</f>
        <v>-1.1602999999999999</v>
      </c>
      <c r="I50" s="10"/>
      <c r="J50" s="10"/>
      <c r="K50" s="10"/>
      <c r="L50" s="19"/>
      <c r="M50" s="45">
        <f>-0.4013-0.759</f>
        <v>-1.1602999999999999</v>
      </c>
    </row>
    <row r="51" spans="1:14" x14ac:dyDescent="0.2">
      <c r="A51" t="s">
        <v>163</v>
      </c>
      <c r="B51" t="s">
        <v>139</v>
      </c>
      <c r="C51" s="5">
        <v>44083</v>
      </c>
      <c r="D51" t="s">
        <v>23</v>
      </c>
      <c r="E51" s="7"/>
      <c r="F51"/>
      <c r="G51"/>
      <c r="H51" s="37">
        <v>-2.3050999999999999</v>
      </c>
      <c r="I51" s="10"/>
      <c r="J51" s="10"/>
      <c r="K51" s="10"/>
      <c r="L51" s="10"/>
      <c r="M51" s="51">
        <v>-2.3050999999999999</v>
      </c>
    </row>
    <row r="52" spans="1:14" x14ac:dyDescent="0.2">
      <c r="A52" t="s">
        <v>163</v>
      </c>
      <c r="B52" t="s">
        <v>139</v>
      </c>
      <c r="C52" s="5">
        <v>44083</v>
      </c>
      <c r="D52" t="s">
        <v>21</v>
      </c>
      <c r="E52" s="7"/>
      <c r="F52">
        <v>156289</v>
      </c>
      <c r="G52">
        <v>517454</v>
      </c>
      <c r="H52" s="10">
        <v>2.1393</v>
      </c>
      <c r="I52" s="10"/>
      <c r="J52" s="10"/>
      <c r="K52" s="10"/>
      <c r="L52" s="10"/>
      <c r="M52" s="51">
        <v>2.1393</v>
      </c>
    </row>
    <row r="53" spans="1:14" x14ac:dyDescent="0.2">
      <c r="A53" t="s">
        <v>163</v>
      </c>
      <c r="B53" t="s">
        <v>139</v>
      </c>
      <c r="C53" s="5">
        <v>44138</v>
      </c>
      <c r="D53" t="s">
        <v>58</v>
      </c>
      <c r="E53" s="7">
        <v>14743</v>
      </c>
      <c r="F53"/>
      <c r="G53"/>
      <c r="H53" s="10">
        <v>-1.2</v>
      </c>
      <c r="I53" s="33">
        <v>324.89999999999998</v>
      </c>
      <c r="J53" s="60">
        <v>324.39999999999998</v>
      </c>
      <c r="K53" s="84">
        <f>J53-I53</f>
        <v>-0.5</v>
      </c>
      <c r="L53" s="93">
        <v>-897</v>
      </c>
      <c r="M53" s="45">
        <f>-0.4093-0.815</f>
        <v>-1.2242999999999999</v>
      </c>
    </row>
    <row r="54" spans="1:14" x14ac:dyDescent="0.2">
      <c r="A54" t="s">
        <v>163</v>
      </c>
      <c r="B54" t="s">
        <v>139</v>
      </c>
      <c r="C54" s="5">
        <v>44138</v>
      </c>
      <c r="D54" t="s">
        <v>46</v>
      </c>
      <c r="E54" s="7">
        <v>13390037</v>
      </c>
      <c r="F54"/>
      <c r="G54"/>
      <c r="H54" s="53">
        <f>-0.4013-0.759</f>
        <v>-1.1602999999999999</v>
      </c>
      <c r="I54" s="10"/>
      <c r="J54" s="10"/>
      <c r="K54" s="10"/>
      <c r="L54" s="19"/>
      <c r="M54" s="45">
        <f>-0.4093-0.759</f>
        <v>-1.1682999999999999</v>
      </c>
    </row>
    <row r="55" spans="1:14" x14ac:dyDescent="0.2">
      <c r="A55" t="s">
        <v>163</v>
      </c>
      <c r="B55" t="s">
        <v>139</v>
      </c>
      <c r="C55" s="5">
        <v>44138</v>
      </c>
      <c r="D55" t="s">
        <v>23</v>
      </c>
      <c r="E55" s="7"/>
      <c r="F55"/>
      <c r="G55"/>
      <c r="H55" s="37">
        <v>-2.3397000000000001</v>
      </c>
      <c r="I55" s="10"/>
      <c r="J55" s="10"/>
      <c r="K55" s="10"/>
      <c r="L55" s="10"/>
      <c r="M55" s="51">
        <v>-2.3397000000000001</v>
      </c>
    </row>
    <row r="56" spans="1:14" s="126" customFormat="1" ht="13.5" thickBot="1" x14ac:dyDescent="0.25">
      <c r="A56" s="117" t="s">
        <v>163</v>
      </c>
      <c r="B56" s="118" t="s">
        <v>139</v>
      </c>
      <c r="C56" s="119">
        <v>44138</v>
      </c>
      <c r="D56" s="120" t="s">
        <v>21</v>
      </c>
      <c r="E56" s="128"/>
      <c r="F56" s="118">
        <v>156289</v>
      </c>
      <c r="G56" s="118">
        <v>517454</v>
      </c>
      <c r="H56" s="122">
        <v>2.1393</v>
      </c>
      <c r="I56" s="123"/>
      <c r="J56" s="123"/>
      <c r="K56" s="123"/>
      <c r="L56" s="123"/>
      <c r="M56" s="124">
        <v>2.1097999999999999</v>
      </c>
      <c r="N56" s="125"/>
    </row>
    <row r="57" spans="1:14" x14ac:dyDescent="0.2">
      <c r="A57"/>
      <c r="B57"/>
      <c r="C57"/>
      <c r="D57"/>
      <c r="E57" s="7"/>
      <c r="F57"/>
      <c r="G57"/>
      <c r="H57" s="10"/>
      <c r="I57" s="10"/>
      <c r="J57" s="10"/>
      <c r="K57" s="10"/>
      <c r="L57" s="10"/>
      <c r="M57" s="45"/>
    </row>
    <row r="58" spans="1:14" x14ac:dyDescent="0.2">
      <c r="A58"/>
      <c r="B58"/>
      <c r="C58"/>
      <c r="D58"/>
      <c r="E58" s="7"/>
      <c r="F58"/>
      <c r="G58"/>
      <c r="H58" s="10"/>
      <c r="I58" s="10"/>
      <c r="J58" s="10"/>
      <c r="K58" s="10"/>
      <c r="L58" s="10"/>
      <c r="M58" s="51"/>
    </row>
    <row r="59" spans="1:14" x14ac:dyDescent="0.2">
      <c r="A59"/>
      <c r="B59"/>
      <c r="C59"/>
      <c r="D59"/>
      <c r="E59" s="7"/>
      <c r="F59"/>
      <c r="G59"/>
      <c r="H59" s="10"/>
      <c r="I59" s="10"/>
      <c r="J59" s="10"/>
      <c r="K59" s="10"/>
      <c r="L59" s="10"/>
      <c r="M59" s="133"/>
    </row>
    <row r="60" spans="1:14" x14ac:dyDescent="0.2">
      <c r="A60"/>
      <c r="B60"/>
      <c r="C60"/>
      <c r="D60"/>
      <c r="E60" s="7"/>
      <c r="F60"/>
      <c r="G60"/>
      <c r="H60" s="10"/>
      <c r="I60" s="10"/>
      <c r="J60" s="10"/>
      <c r="K60" s="10"/>
      <c r="L60" s="10"/>
      <c r="M60" s="133"/>
    </row>
    <row r="61" spans="1:14" x14ac:dyDescent="0.2">
      <c r="A61"/>
      <c r="B61"/>
      <c r="C61"/>
      <c r="D61"/>
      <c r="E61" s="7"/>
      <c r="F61"/>
      <c r="G61"/>
      <c r="H61" s="10"/>
      <c r="I61" s="10"/>
      <c r="J61" s="10"/>
      <c r="K61" s="10"/>
      <c r="L61" s="10"/>
      <c r="M61" s="51"/>
    </row>
    <row r="62" spans="1:14" x14ac:dyDescent="0.2">
      <c r="A62"/>
      <c r="B62"/>
      <c r="C62"/>
      <c r="D62"/>
      <c r="E62" s="7"/>
      <c r="F62"/>
      <c r="G62"/>
      <c r="H62" s="10"/>
      <c r="I62" s="10"/>
      <c r="J62" s="10"/>
      <c r="K62" s="10"/>
      <c r="L62" s="10"/>
      <c r="M62" s="51"/>
    </row>
    <row r="63" spans="1:14" x14ac:dyDescent="0.2">
      <c r="A63"/>
      <c r="B63"/>
      <c r="C63"/>
      <c r="D63"/>
      <c r="E63" s="7"/>
      <c r="F63"/>
      <c r="G63"/>
      <c r="H63" s="10"/>
      <c r="I63" s="10"/>
      <c r="J63" s="10"/>
      <c r="K63" s="10"/>
      <c r="L63" s="10"/>
      <c r="M63" s="51"/>
    </row>
    <row r="64" spans="1:14" x14ac:dyDescent="0.2">
      <c r="A64"/>
      <c r="B64"/>
      <c r="C64"/>
      <c r="D64"/>
      <c r="E64" s="7"/>
      <c r="F64"/>
      <c r="G64"/>
      <c r="H64" s="10"/>
      <c r="I64" s="10"/>
      <c r="J64" s="10"/>
      <c r="K64" s="10"/>
      <c r="L64" s="10"/>
      <c r="M64" s="51"/>
    </row>
    <row r="65" spans="1:13" x14ac:dyDescent="0.2">
      <c r="A65"/>
      <c r="B65"/>
      <c r="C65"/>
      <c r="D65"/>
      <c r="E65" s="7"/>
      <c r="F65"/>
      <c r="G65"/>
      <c r="H65" s="10"/>
      <c r="I65" s="10"/>
      <c r="J65" s="10"/>
      <c r="K65" s="10"/>
      <c r="L65" s="10"/>
      <c r="M65" s="51"/>
    </row>
    <row r="66" spans="1:13" x14ac:dyDescent="0.2">
      <c r="A66"/>
      <c r="B66"/>
      <c r="C66"/>
      <c r="D66"/>
      <c r="E66" s="7"/>
      <c r="F66"/>
      <c r="G66"/>
      <c r="H66" s="10"/>
      <c r="I66" s="10"/>
      <c r="J66" s="10"/>
      <c r="K66" s="10"/>
      <c r="L66" s="10"/>
      <c r="M66" s="51"/>
    </row>
    <row r="67" spans="1:13" x14ac:dyDescent="0.2">
      <c r="A67"/>
      <c r="B67"/>
      <c r="C67"/>
      <c r="D67"/>
      <c r="E67" s="7"/>
      <c r="F67"/>
      <c r="G67"/>
      <c r="H67" s="10"/>
      <c r="I67" s="10"/>
      <c r="J67" s="10"/>
      <c r="K67" s="10"/>
      <c r="L67" s="10"/>
      <c r="M67" s="51"/>
    </row>
    <row r="68" spans="1:13" x14ac:dyDescent="0.2">
      <c r="A68"/>
      <c r="B68"/>
      <c r="C68"/>
      <c r="D68"/>
      <c r="E68" s="7"/>
      <c r="F68"/>
      <c r="G68"/>
      <c r="H68" s="10"/>
      <c r="I68" s="10"/>
      <c r="J68" s="10"/>
      <c r="K68" s="10"/>
      <c r="L68" s="10"/>
      <c r="M68" s="51"/>
    </row>
    <row r="69" spans="1:13" x14ac:dyDescent="0.2">
      <c r="A69"/>
      <c r="B69"/>
      <c r="C69"/>
      <c r="D69"/>
      <c r="E69" s="7"/>
      <c r="F69"/>
      <c r="G69"/>
      <c r="H69" s="10"/>
      <c r="I69" s="10"/>
      <c r="J69" s="10"/>
      <c r="K69" s="10"/>
      <c r="L69" s="10"/>
      <c r="M69" s="51"/>
    </row>
    <row r="70" spans="1:13" x14ac:dyDescent="0.2">
      <c r="A70"/>
      <c r="B70"/>
      <c r="C70"/>
      <c r="D70"/>
      <c r="E70" s="7"/>
      <c r="F70"/>
      <c r="G70"/>
      <c r="H70" s="10"/>
      <c r="I70" s="10"/>
      <c r="J70" s="10"/>
      <c r="K70" s="10"/>
      <c r="L70" s="10"/>
      <c r="M70" s="51"/>
    </row>
    <row r="71" spans="1:13" x14ac:dyDescent="0.2">
      <c r="A71"/>
      <c r="B71"/>
      <c r="C71"/>
      <c r="D71"/>
      <c r="E71" s="7"/>
      <c r="F71"/>
      <c r="G71"/>
      <c r="H71" s="10"/>
      <c r="I71" s="10"/>
      <c r="J71" s="10"/>
      <c r="K71" s="10"/>
      <c r="L71" s="10"/>
      <c r="M71" s="51"/>
    </row>
    <row r="72" spans="1:13" x14ac:dyDescent="0.2">
      <c r="A72"/>
      <c r="B72"/>
      <c r="C72"/>
      <c r="D72"/>
      <c r="E72" s="7"/>
      <c r="F72"/>
      <c r="G72"/>
      <c r="H72" s="10"/>
      <c r="I72" s="10"/>
      <c r="J72" s="10"/>
      <c r="K72" s="10"/>
      <c r="L72" s="10"/>
      <c r="M72" s="51"/>
    </row>
    <row r="73" spans="1:13" x14ac:dyDescent="0.2">
      <c r="A73"/>
      <c r="B73"/>
      <c r="C73"/>
      <c r="D73"/>
      <c r="E73" s="7"/>
      <c r="F73"/>
      <c r="G73"/>
      <c r="H73" s="10"/>
      <c r="I73" s="10"/>
      <c r="J73" s="10"/>
      <c r="K73" s="10"/>
      <c r="L73" s="10"/>
      <c r="M73" s="51"/>
    </row>
    <row r="74" spans="1:13" x14ac:dyDescent="0.2">
      <c r="A74"/>
      <c r="B74"/>
      <c r="C74"/>
      <c r="D74"/>
      <c r="E74" s="7"/>
      <c r="F74"/>
      <c r="G74"/>
      <c r="H74" s="10"/>
      <c r="I74" s="10"/>
      <c r="J74" s="10"/>
      <c r="K74" s="10"/>
      <c r="L74" s="10"/>
      <c r="M74" s="51"/>
    </row>
    <row r="75" spans="1:13" x14ac:dyDescent="0.2">
      <c r="A75"/>
      <c r="B75"/>
      <c r="C75"/>
      <c r="D75"/>
      <c r="E75" s="7"/>
      <c r="F75"/>
      <c r="G75"/>
      <c r="H75" s="10"/>
      <c r="I75" s="10"/>
      <c r="J75" s="10"/>
      <c r="K75" s="10"/>
      <c r="L75" s="10"/>
      <c r="M75" s="51"/>
    </row>
    <row r="76" spans="1:13" x14ac:dyDescent="0.2">
      <c r="A76"/>
      <c r="B76"/>
      <c r="C76"/>
      <c r="D76"/>
      <c r="E76" s="7"/>
      <c r="F76"/>
      <c r="G76"/>
      <c r="H76" s="10"/>
      <c r="I76" s="10"/>
      <c r="J76" s="10"/>
      <c r="K76" s="10"/>
      <c r="L76" s="10"/>
      <c r="M76" s="51"/>
    </row>
    <row r="77" spans="1:13" x14ac:dyDescent="0.2">
      <c r="A77"/>
      <c r="B77"/>
      <c r="C77"/>
      <c r="D77"/>
      <c r="E77" s="7"/>
      <c r="F77"/>
      <c r="G77"/>
      <c r="H77" s="10"/>
      <c r="I77" s="10"/>
      <c r="J77" s="10"/>
      <c r="K77" s="10"/>
      <c r="L77" s="10"/>
      <c r="M77" s="51"/>
    </row>
    <row r="78" spans="1:13" x14ac:dyDescent="0.2">
      <c r="A78"/>
      <c r="B78"/>
      <c r="C78"/>
      <c r="D78"/>
      <c r="E78" s="7"/>
      <c r="F78"/>
      <c r="G78"/>
      <c r="H78" s="10"/>
      <c r="I78" s="10"/>
      <c r="J78" s="10"/>
      <c r="K78" s="10"/>
      <c r="L78" s="10"/>
      <c r="M78" s="51"/>
    </row>
    <row r="79" spans="1:13" x14ac:dyDescent="0.2">
      <c r="A79"/>
      <c r="B79"/>
      <c r="C79"/>
      <c r="D79"/>
      <c r="E79" s="7"/>
      <c r="F79"/>
      <c r="G79"/>
      <c r="H79" s="10"/>
      <c r="I79" s="10"/>
      <c r="J79" s="10"/>
      <c r="K79" s="10"/>
      <c r="L79" s="10"/>
      <c r="M79" s="51"/>
    </row>
    <row r="80" spans="1:13" x14ac:dyDescent="0.2">
      <c r="A80"/>
      <c r="B80"/>
      <c r="C80"/>
      <c r="D80"/>
      <c r="E80" s="7"/>
      <c r="F80"/>
      <c r="G80"/>
      <c r="H80" s="10"/>
      <c r="I80" s="10"/>
      <c r="J80" s="10"/>
      <c r="K80" s="10"/>
      <c r="L80" s="10"/>
      <c r="M80" s="51"/>
    </row>
    <row r="81" spans="1:13" x14ac:dyDescent="0.2">
      <c r="A81"/>
      <c r="B81"/>
      <c r="C81"/>
      <c r="D81"/>
      <c r="E81" s="7"/>
      <c r="F81"/>
      <c r="G81"/>
      <c r="H81" s="10"/>
      <c r="I81" s="10"/>
      <c r="J81" s="10"/>
      <c r="K81" s="10"/>
      <c r="L81" s="10"/>
      <c r="M81" s="51"/>
    </row>
    <row r="82" spans="1:13" ht="42.75" customHeight="1" x14ac:dyDescent="0.2">
      <c r="A82"/>
      <c r="B82"/>
      <c r="C82"/>
      <c r="D82"/>
      <c r="E82" s="7"/>
      <c r="F82"/>
      <c r="G82"/>
      <c r="H82" s="10"/>
      <c r="I82" s="10"/>
      <c r="J82" s="10"/>
      <c r="K82" s="10"/>
      <c r="L82" s="10"/>
      <c r="M82" s="51"/>
    </row>
    <row r="83" spans="1:13" x14ac:dyDescent="0.2">
      <c r="A83"/>
      <c r="B83"/>
      <c r="C83"/>
      <c r="D83"/>
      <c r="E83" s="7"/>
      <c r="F83"/>
      <c r="G83"/>
      <c r="H83" s="10"/>
      <c r="I83" s="10"/>
      <c r="J83" s="10"/>
      <c r="K83" s="10"/>
      <c r="L83" s="10"/>
      <c r="M83" s="51"/>
    </row>
    <row r="84" spans="1:13" ht="12.75" customHeight="1" x14ac:dyDescent="0.2">
      <c r="A84"/>
      <c r="B84"/>
      <c r="C84"/>
      <c r="D84"/>
      <c r="E84" s="7"/>
      <c r="F84"/>
      <c r="G84"/>
      <c r="H84" s="10"/>
      <c r="I84" s="10"/>
      <c r="J84" s="10"/>
      <c r="K84" s="10"/>
      <c r="L84" s="10"/>
      <c r="M84" s="51"/>
    </row>
    <row r="85" spans="1:13" ht="12.75" customHeight="1" x14ac:dyDescent="0.2">
      <c r="A85"/>
      <c r="B85"/>
      <c r="C85"/>
      <c r="D85"/>
      <c r="E85" s="7"/>
      <c r="F85"/>
      <c r="G85"/>
      <c r="H85" s="10"/>
      <c r="I85" s="10"/>
      <c r="J85" s="10"/>
      <c r="K85" s="10"/>
      <c r="L85" s="10"/>
      <c r="M85" s="51"/>
    </row>
    <row r="86" spans="1:13" x14ac:dyDescent="0.2">
      <c r="A86"/>
      <c r="B86"/>
      <c r="C86"/>
      <c r="D86"/>
      <c r="E86" s="7"/>
      <c r="F86"/>
      <c r="G86"/>
      <c r="H86" s="10"/>
      <c r="I86" s="10"/>
      <c r="J86" s="10"/>
      <c r="K86" s="10"/>
      <c r="L86" s="10"/>
      <c r="M86" s="51"/>
    </row>
    <row r="87" spans="1:13" x14ac:dyDescent="0.2">
      <c r="A87"/>
      <c r="B87"/>
      <c r="C87"/>
      <c r="D87"/>
      <c r="E87" s="7"/>
      <c r="F87"/>
      <c r="G87"/>
      <c r="H87" s="10"/>
      <c r="I87" s="10"/>
      <c r="J87" s="10"/>
      <c r="K87" s="10"/>
      <c r="L87" s="10"/>
      <c r="M87" s="51"/>
    </row>
    <row r="88" spans="1:13" x14ac:dyDescent="0.2">
      <c r="A88"/>
      <c r="B88"/>
      <c r="C88"/>
      <c r="D88"/>
      <c r="E88" s="7"/>
      <c r="F88"/>
      <c r="G88"/>
      <c r="H88" s="10"/>
      <c r="I88" s="10"/>
      <c r="J88" s="10"/>
      <c r="K88" s="10"/>
      <c r="L88" s="10"/>
      <c r="M88" s="51"/>
    </row>
    <row r="89" spans="1:13" x14ac:dyDescent="0.2">
      <c r="A89"/>
      <c r="B89"/>
      <c r="C89"/>
      <c r="D89"/>
      <c r="E89" s="7"/>
      <c r="F89"/>
      <c r="G89"/>
      <c r="H89" s="10"/>
      <c r="I89" s="10"/>
      <c r="J89" s="10"/>
      <c r="K89" s="10"/>
      <c r="L89" s="10"/>
      <c r="M89" s="51"/>
    </row>
    <row r="90" spans="1:13" x14ac:dyDescent="0.2">
      <c r="A90"/>
      <c r="B90"/>
      <c r="C90"/>
      <c r="D90"/>
      <c r="E90" s="7"/>
      <c r="F90"/>
      <c r="G90"/>
      <c r="H90" s="10"/>
      <c r="I90" s="10"/>
      <c r="J90" s="10"/>
      <c r="K90" s="10"/>
      <c r="L90" s="10"/>
      <c r="M90" s="51"/>
    </row>
    <row r="91" spans="1:13" x14ac:dyDescent="0.2">
      <c r="A91"/>
      <c r="B91"/>
      <c r="C91"/>
      <c r="D91"/>
      <c r="E91" s="7"/>
      <c r="F91"/>
      <c r="G91"/>
      <c r="H91" s="10"/>
      <c r="I91" s="10"/>
      <c r="J91" s="10"/>
      <c r="K91" s="10"/>
      <c r="L91" s="10"/>
      <c r="M91" s="51"/>
    </row>
    <row r="92" spans="1:13" x14ac:dyDescent="0.2">
      <c r="A92"/>
      <c r="B92"/>
      <c r="C92"/>
      <c r="D92"/>
      <c r="E92" s="7"/>
      <c r="F92"/>
      <c r="G92"/>
      <c r="H92" s="10"/>
      <c r="I92" s="10"/>
      <c r="J92" s="10"/>
      <c r="K92" s="10"/>
      <c r="L92" s="10"/>
      <c r="M92" s="51"/>
    </row>
    <row r="93" spans="1:13" x14ac:dyDescent="0.2">
      <c r="A93"/>
      <c r="B93"/>
      <c r="C93"/>
      <c r="D93"/>
      <c r="E93" s="7"/>
      <c r="F93"/>
      <c r="G93"/>
      <c r="H93" s="10"/>
      <c r="I93" s="10"/>
      <c r="J93" s="10"/>
      <c r="K93" s="10"/>
      <c r="L93" s="10"/>
      <c r="M93" s="51"/>
    </row>
    <row r="94" spans="1:13" x14ac:dyDescent="0.2">
      <c r="A94"/>
      <c r="B94"/>
      <c r="C94"/>
      <c r="D94"/>
      <c r="E94" s="7"/>
      <c r="F94"/>
      <c r="G94"/>
      <c r="H94" s="10"/>
      <c r="I94" s="10"/>
      <c r="J94" s="10"/>
      <c r="K94" s="10"/>
      <c r="L94" s="10"/>
      <c r="M94" s="51"/>
    </row>
    <row r="95" spans="1:13" x14ac:dyDescent="0.2">
      <c r="A95"/>
      <c r="B95"/>
      <c r="C95"/>
      <c r="D95"/>
      <c r="E95" s="7"/>
      <c r="F95"/>
      <c r="G95"/>
      <c r="H95" s="10"/>
      <c r="I95" s="10"/>
      <c r="J95" s="10"/>
      <c r="K95" s="10"/>
      <c r="L95" s="10"/>
      <c r="M95" s="51"/>
    </row>
    <row r="96" spans="1:13" x14ac:dyDescent="0.2">
      <c r="A96"/>
      <c r="B96"/>
      <c r="C96"/>
      <c r="D96"/>
      <c r="E96" s="7"/>
      <c r="F96"/>
      <c r="G96"/>
      <c r="H96" s="10"/>
      <c r="I96" s="10"/>
      <c r="J96" s="10"/>
      <c r="K96" s="10"/>
      <c r="L96" s="10"/>
      <c r="M96" s="51"/>
    </row>
    <row r="97" spans="1:13" x14ac:dyDescent="0.2">
      <c r="A97"/>
      <c r="B97"/>
      <c r="C97"/>
      <c r="D97"/>
      <c r="E97" s="7"/>
      <c r="F97"/>
      <c r="G97"/>
      <c r="H97" s="10"/>
      <c r="I97" s="10"/>
      <c r="J97" s="10"/>
      <c r="K97" s="10"/>
      <c r="L97" s="10"/>
      <c r="M97" s="51"/>
    </row>
    <row r="98" spans="1:13" x14ac:dyDescent="0.2">
      <c r="A98"/>
      <c r="B98"/>
      <c r="C98"/>
      <c r="D98"/>
      <c r="E98" s="7"/>
      <c r="F98"/>
      <c r="G98"/>
      <c r="H98" s="10"/>
      <c r="I98" s="10"/>
      <c r="J98" s="10"/>
      <c r="K98" s="10"/>
      <c r="L98" s="10"/>
      <c r="M98" s="51"/>
    </row>
    <row r="99" spans="1:13" x14ac:dyDescent="0.2">
      <c r="A99"/>
      <c r="B99"/>
      <c r="C99"/>
      <c r="D99"/>
      <c r="E99" s="7"/>
      <c r="F99"/>
      <c r="G99"/>
      <c r="H99" s="10"/>
      <c r="I99" s="10"/>
      <c r="J99" s="10"/>
      <c r="K99" s="10"/>
      <c r="L99" s="10"/>
      <c r="M99" s="51"/>
    </row>
    <row r="100" spans="1:13" x14ac:dyDescent="0.2">
      <c r="A100"/>
      <c r="B100"/>
      <c r="C100"/>
      <c r="D100"/>
      <c r="E100" s="7"/>
      <c r="F100"/>
      <c r="G100"/>
      <c r="H100" s="10"/>
      <c r="I100" s="10"/>
      <c r="J100" s="10"/>
      <c r="K100" s="10"/>
      <c r="L100" s="10"/>
      <c r="M100" s="51"/>
    </row>
    <row r="101" spans="1:13" x14ac:dyDescent="0.2">
      <c r="A101"/>
      <c r="B101"/>
      <c r="C101"/>
      <c r="D101"/>
      <c r="E101" s="7"/>
      <c r="F101"/>
      <c r="G101"/>
      <c r="H101" s="10"/>
      <c r="I101" s="10"/>
      <c r="J101" s="10"/>
      <c r="K101" s="10"/>
      <c r="L101" s="10"/>
      <c r="M101" s="51"/>
    </row>
    <row r="102" spans="1:13" x14ac:dyDescent="0.2">
      <c r="A102"/>
      <c r="B102"/>
      <c r="C102"/>
      <c r="D102"/>
      <c r="E102" s="7"/>
      <c r="F102"/>
      <c r="G102"/>
      <c r="H102" s="10"/>
      <c r="I102" s="10"/>
      <c r="J102" s="10"/>
      <c r="K102" s="10"/>
      <c r="L102" s="10"/>
      <c r="M102" s="51"/>
    </row>
    <row r="103" spans="1:13" x14ac:dyDescent="0.2">
      <c r="A103"/>
      <c r="B103"/>
      <c r="C103"/>
      <c r="D103"/>
      <c r="E103" s="7"/>
      <c r="F103"/>
      <c r="G103"/>
      <c r="H103" s="10"/>
      <c r="I103" s="10"/>
      <c r="J103" s="10"/>
      <c r="K103" s="10"/>
      <c r="L103" s="10"/>
      <c r="M103" s="51"/>
    </row>
    <row r="104" spans="1:13" x14ac:dyDescent="0.2">
      <c r="A104"/>
      <c r="B104"/>
      <c r="C104"/>
      <c r="D104"/>
      <c r="E104" s="7"/>
      <c r="F104"/>
      <c r="G104"/>
      <c r="H104" s="10"/>
      <c r="I104" s="10"/>
      <c r="J104" s="10"/>
      <c r="K104" s="10"/>
      <c r="L104" s="10"/>
      <c r="M104" s="51"/>
    </row>
    <row r="105" spans="1:13" x14ac:dyDescent="0.2">
      <c r="A105"/>
      <c r="B105"/>
      <c r="C105"/>
      <c r="D105"/>
      <c r="E105" s="7"/>
      <c r="F105"/>
      <c r="G105"/>
      <c r="H105" s="10"/>
      <c r="I105" s="10"/>
      <c r="J105" s="10"/>
      <c r="K105" s="10"/>
      <c r="L105" s="10"/>
      <c r="M105" s="51"/>
    </row>
    <row r="106" spans="1:13" x14ac:dyDescent="0.2">
      <c r="A106"/>
      <c r="B106"/>
      <c r="C106"/>
      <c r="D106"/>
      <c r="E106" s="7"/>
      <c r="F106"/>
      <c r="G106"/>
      <c r="H106" s="10"/>
      <c r="I106" s="10"/>
      <c r="J106" s="10"/>
      <c r="K106" s="10"/>
      <c r="L106" s="10"/>
      <c r="M106" s="51"/>
    </row>
    <row r="107" spans="1:13" x14ac:dyDescent="0.2">
      <c r="A107"/>
      <c r="B107"/>
      <c r="C107"/>
      <c r="D107"/>
      <c r="E107" s="7"/>
      <c r="F107"/>
      <c r="G107"/>
      <c r="H107" s="10"/>
      <c r="I107" s="10"/>
      <c r="J107" s="10"/>
      <c r="K107" s="10"/>
      <c r="L107" s="10"/>
      <c r="M107" s="51"/>
    </row>
    <row r="108" spans="1:13" x14ac:dyDescent="0.2">
      <c r="A108"/>
      <c r="B108"/>
      <c r="C108"/>
      <c r="D108"/>
      <c r="E108" s="7"/>
      <c r="F108"/>
      <c r="G108"/>
      <c r="H108" s="10"/>
      <c r="I108" s="10"/>
      <c r="J108" s="10"/>
      <c r="K108" s="10"/>
      <c r="L108" s="10"/>
      <c r="M108" s="51"/>
    </row>
    <row r="109" spans="1:13" x14ac:dyDescent="0.2">
      <c r="A109"/>
      <c r="B109"/>
      <c r="C109"/>
      <c r="D109"/>
      <c r="E109" s="7"/>
      <c r="F109"/>
      <c r="G109"/>
      <c r="H109" s="10"/>
      <c r="I109" s="10"/>
      <c r="J109" s="10"/>
      <c r="K109" s="10"/>
      <c r="L109" s="10"/>
      <c r="M109" s="51"/>
    </row>
    <row r="110" spans="1:13" x14ac:dyDescent="0.2">
      <c r="A110"/>
      <c r="B110"/>
      <c r="C110"/>
      <c r="D110"/>
      <c r="E110" s="7"/>
      <c r="F110"/>
      <c r="G110"/>
      <c r="H110" s="10"/>
      <c r="I110" s="10"/>
      <c r="J110" s="10"/>
      <c r="K110" s="10"/>
      <c r="L110" s="10"/>
      <c r="M110" s="51"/>
    </row>
    <row r="111" spans="1:13" x14ac:dyDescent="0.2">
      <c r="A111"/>
      <c r="B111"/>
      <c r="C111"/>
      <c r="D111"/>
      <c r="E111" s="7"/>
      <c r="F111"/>
      <c r="G111"/>
      <c r="H111" s="10"/>
      <c r="I111" s="10"/>
      <c r="J111" s="10"/>
      <c r="K111" s="10"/>
      <c r="L111" s="10"/>
      <c r="M111" s="51"/>
    </row>
    <row r="112" spans="1:13" x14ac:dyDescent="0.2">
      <c r="A112"/>
      <c r="B112"/>
      <c r="C112"/>
      <c r="D112"/>
      <c r="E112" s="7"/>
      <c r="F112"/>
      <c r="G112"/>
      <c r="H112" s="10"/>
      <c r="I112" s="10"/>
      <c r="J112" s="10"/>
      <c r="K112" s="10"/>
      <c r="L112" s="10"/>
      <c r="M112" s="51"/>
    </row>
    <row r="113" spans="1:13" x14ac:dyDescent="0.2">
      <c r="A113"/>
      <c r="B113"/>
      <c r="C113"/>
      <c r="D113"/>
      <c r="E113" s="7"/>
      <c r="F113"/>
      <c r="G113"/>
      <c r="H113" s="10"/>
      <c r="I113" s="10"/>
      <c r="J113" s="10"/>
      <c r="K113" s="10"/>
      <c r="L113" s="10"/>
      <c r="M113" s="51"/>
    </row>
    <row r="114" spans="1:13" x14ac:dyDescent="0.2">
      <c r="A114"/>
      <c r="B114"/>
      <c r="C114"/>
      <c r="D114"/>
      <c r="E114" s="7"/>
      <c r="F114"/>
      <c r="G114"/>
      <c r="H114" s="10"/>
      <c r="I114" s="10"/>
      <c r="J114" s="10"/>
      <c r="K114" s="10"/>
      <c r="L114" s="10"/>
      <c r="M114" s="51"/>
    </row>
    <row r="115" spans="1:13" x14ac:dyDescent="0.2">
      <c r="A115"/>
      <c r="B115"/>
      <c r="C115"/>
      <c r="D115"/>
      <c r="E115" s="7"/>
      <c r="F115"/>
      <c r="G115"/>
      <c r="H115" s="10"/>
      <c r="I115" s="10"/>
      <c r="J115" s="10"/>
      <c r="K115" s="10"/>
      <c r="L115" s="10"/>
      <c r="M115" s="51"/>
    </row>
    <row r="116" spans="1:13" x14ac:dyDescent="0.2">
      <c r="A116"/>
      <c r="B116"/>
      <c r="C116"/>
      <c r="D116"/>
      <c r="E116" s="7"/>
      <c r="F116"/>
      <c r="G116"/>
      <c r="H116" s="10"/>
      <c r="I116" s="10"/>
      <c r="J116" s="10"/>
      <c r="K116" s="10"/>
      <c r="L116" s="10"/>
      <c r="M116" s="51"/>
    </row>
    <row r="117" spans="1:13" x14ac:dyDescent="0.2">
      <c r="A117"/>
      <c r="B117"/>
      <c r="C117"/>
      <c r="D117"/>
      <c r="E117" s="7"/>
      <c r="F117"/>
      <c r="G117"/>
      <c r="H117" s="10"/>
      <c r="I117" s="10"/>
      <c r="J117" s="10"/>
      <c r="K117" s="10"/>
      <c r="L117" s="10"/>
      <c r="M117" s="51"/>
    </row>
    <row r="118" spans="1:13" x14ac:dyDescent="0.2">
      <c r="A118"/>
      <c r="B118"/>
      <c r="C118"/>
      <c r="D118"/>
      <c r="E118" s="7"/>
      <c r="F118"/>
      <c r="G118"/>
      <c r="H118" s="10"/>
      <c r="I118" s="10"/>
      <c r="J118" s="10"/>
      <c r="K118" s="10"/>
      <c r="L118" s="10"/>
      <c r="M118" s="51"/>
    </row>
    <row r="119" spans="1:13" x14ac:dyDescent="0.2">
      <c r="A119"/>
      <c r="B119"/>
      <c r="C119"/>
      <c r="D119"/>
      <c r="E119" s="7"/>
      <c r="F119"/>
      <c r="G119"/>
      <c r="H119" s="10"/>
      <c r="I119" s="10"/>
      <c r="J119" s="10"/>
      <c r="K119" s="10"/>
      <c r="L119" s="10"/>
      <c r="M119" s="51"/>
    </row>
    <row r="120" spans="1:13" x14ac:dyDescent="0.2">
      <c r="A120"/>
      <c r="B120"/>
      <c r="C120"/>
      <c r="D120"/>
      <c r="E120" s="7"/>
      <c r="F120"/>
      <c r="G120"/>
      <c r="H120" s="10"/>
      <c r="I120" s="10"/>
      <c r="J120" s="10"/>
      <c r="K120" s="10"/>
      <c r="L120" s="10"/>
      <c r="M120" s="51"/>
    </row>
    <row r="121" spans="1:13" x14ac:dyDescent="0.2">
      <c r="A121"/>
      <c r="B121"/>
      <c r="C121"/>
      <c r="D121"/>
      <c r="E121" s="7"/>
      <c r="F121"/>
      <c r="G121"/>
      <c r="H121" s="10"/>
      <c r="I121" s="10"/>
      <c r="J121" s="10"/>
      <c r="K121" s="10"/>
      <c r="L121" s="10"/>
      <c r="M121" s="51"/>
    </row>
    <row r="122" spans="1:13" x14ac:dyDescent="0.2">
      <c r="A122"/>
      <c r="B122"/>
      <c r="C122"/>
      <c r="D122"/>
      <c r="E122" s="7"/>
      <c r="F122"/>
      <c r="G122"/>
      <c r="H122" s="10"/>
      <c r="I122" s="10"/>
      <c r="J122" s="10"/>
      <c r="K122" s="10"/>
      <c r="L122" s="10"/>
      <c r="M122" s="51"/>
    </row>
    <row r="123" spans="1:13" x14ac:dyDescent="0.2">
      <c r="A123"/>
      <c r="B123"/>
      <c r="C123"/>
      <c r="D123"/>
      <c r="E123" s="7"/>
      <c r="F123"/>
      <c r="G123"/>
      <c r="H123" s="10"/>
      <c r="I123" s="10"/>
      <c r="J123" s="10"/>
      <c r="K123" s="10"/>
      <c r="L123" s="10"/>
      <c r="M123" s="51"/>
    </row>
    <row r="124" spans="1:13" x14ac:dyDescent="0.2">
      <c r="A124"/>
      <c r="B124"/>
      <c r="C124"/>
      <c r="D124"/>
      <c r="E124" s="7"/>
      <c r="F124"/>
      <c r="G124"/>
      <c r="H124" s="10"/>
      <c r="I124" s="10"/>
      <c r="J124" s="10"/>
      <c r="K124" s="10"/>
      <c r="L124" s="10"/>
      <c r="M124" s="51"/>
    </row>
    <row r="125" spans="1:13" x14ac:dyDescent="0.2">
      <c r="A125"/>
      <c r="B125"/>
      <c r="C125"/>
      <c r="D125"/>
      <c r="E125" s="7"/>
      <c r="F125"/>
      <c r="G125"/>
      <c r="H125" s="10"/>
      <c r="I125" s="10"/>
      <c r="J125" s="10"/>
      <c r="K125" s="10"/>
      <c r="L125" s="10"/>
      <c r="M125" s="51"/>
    </row>
    <row r="126" spans="1:13" x14ac:dyDescent="0.2">
      <c r="A126"/>
      <c r="B126"/>
      <c r="C126"/>
      <c r="D126"/>
      <c r="E126" s="7"/>
      <c r="F126"/>
      <c r="G126"/>
      <c r="H126" s="10"/>
      <c r="I126" s="10"/>
      <c r="J126" s="10"/>
      <c r="K126" s="10"/>
      <c r="L126" s="10"/>
      <c r="M126" s="51"/>
    </row>
    <row r="127" spans="1:13" x14ac:dyDescent="0.2">
      <c r="A127"/>
      <c r="B127"/>
      <c r="C127"/>
      <c r="D127"/>
      <c r="E127" s="7"/>
      <c r="F127"/>
      <c r="G127"/>
      <c r="H127" s="10"/>
      <c r="I127" s="10"/>
      <c r="J127" s="10"/>
      <c r="K127" s="10"/>
      <c r="L127" s="10"/>
      <c r="M127" s="51"/>
    </row>
    <row r="128" spans="1:13" x14ac:dyDescent="0.2">
      <c r="A128"/>
      <c r="B128"/>
      <c r="C128"/>
      <c r="D128"/>
      <c r="E128" s="7"/>
      <c r="F128"/>
      <c r="G128"/>
      <c r="H128" s="10"/>
      <c r="I128" s="10"/>
      <c r="J128" s="10"/>
      <c r="K128" s="10"/>
      <c r="L128" s="10"/>
      <c r="M128" s="51"/>
    </row>
    <row r="129" spans="1:13" x14ac:dyDescent="0.2">
      <c r="A129"/>
      <c r="B129"/>
      <c r="C129"/>
      <c r="D129"/>
      <c r="E129" s="7"/>
      <c r="F129"/>
      <c r="G129"/>
      <c r="H129" s="10"/>
      <c r="I129" s="10"/>
      <c r="J129" s="10"/>
      <c r="K129" s="10"/>
      <c r="L129" s="10"/>
      <c r="M129" s="51"/>
    </row>
    <row r="130" spans="1:13" x14ac:dyDescent="0.2">
      <c r="A130"/>
      <c r="B130"/>
      <c r="C130"/>
      <c r="D130"/>
      <c r="E130" s="7"/>
      <c r="F130"/>
      <c r="G130"/>
      <c r="H130" s="10"/>
      <c r="I130" s="10"/>
      <c r="J130" s="10"/>
      <c r="K130" s="10"/>
      <c r="L130" s="10"/>
      <c r="M130" s="51"/>
    </row>
    <row r="131" spans="1:13" x14ac:dyDescent="0.2">
      <c r="A131"/>
      <c r="B131"/>
      <c r="C131"/>
      <c r="D131"/>
      <c r="E131" s="7"/>
      <c r="F131"/>
      <c r="G131"/>
      <c r="H131" s="10"/>
      <c r="I131" s="10"/>
      <c r="J131" s="10"/>
      <c r="K131" s="10"/>
      <c r="L131" s="10"/>
      <c r="M131" s="51"/>
    </row>
    <row r="132" spans="1:13" x14ac:dyDescent="0.2">
      <c r="A132"/>
      <c r="B132"/>
      <c r="C132"/>
      <c r="D132"/>
      <c r="E132" s="7"/>
      <c r="F132"/>
      <c r="G132"/>
      <c r="H132" s="10"/>
      <c r="I132" s="10"/>
      <c r="J132" s="10"/>
      <c r="K132" s="10"/>
      <c r="L132" s="10"/>
      <c r="M132" s="51"/>
    </row>
    <row r="133" spans="1:13" x14ac:dyDescent="0.2">
      <c r="A133"/>
      <c r="B133"/>
      <c r="C133"/>
      <c r="D133"/>
      <c r="E133" s="7"/>
      <c r="F133"/>
      <c r="G133"/>
      <c r="H133" s="10"/>
      <c r="I133" s="10"/>
      <c r="J133" s="10"/>
      <c r="K133" s="10"/>
      <c r="L133" s="10"/>
      <c r="M133" s="51"/>
    </row>
    <row r="134" spans="1:13" x14ac:dyDescent="0.2">
      <c r="A134"/>
      <c r="B134"/>
      <c r="C134"/>
      <c r="D134"/>
      <c r="E134" s="7"/>
      <c r="F134"/>
      <c r="G134"/>
      <c r="H134" s="10"/>
      <c r="I134" s="10"/>
      <c r="J134" s="10"/>
      <c r="K134" s="10"/>
      <c r="L134" s="10"/>
      <c r="M134" s="51"/>
    </row>
    <row r="135" spans="1:13" x14ac:dyDescent="0.2">
      <c r="A135"/>
      <c r="B135"/>
      <c r="C135"/>
      <c r="D135"/>
      <c r="E135" s="7"/>
      <c r="F135"/>
      <c r="G135"/>
      <c r="H135" s="10"/>
      <c r="I135" s="10"/>
      <c r="J135" s="10"/>
      <c r="K135" s="10"/>
      <c r="L135" s="10"/>
      <c r="M135" s="51"/>
    </row>
    <row r="136" spans="1:13" x14ac:dyDescent="0.2">
      <c r="A136"/>
      <c r="B136"/>
      <c r="C136"/>
      <c r="D136"/>
      <c r="E136" s="7"/>
      <c r="F136"/>
      <c r="G136"/>
      <c r="H136" s="10"/>
      <c r="I136" s="10"/>
      <c r="J136" s="10"/>
      <c r="K136" s="10"/>
      <c r="L136" s="10"/>
      <c r="M136" s="51"/>
    </row>
    <row r="137" spans="1:13" x14ac:dyDescent="0.2">
      <c r="A137"/>
      <c r="B137"/>
      <c r="C137"/>
      <c r="D137"/>
      <c r="E137" s="7"/>
      <c r="F137"/>
      <c r="G137"/>
      <c r="H137" s="10"/>
      <c r="I137" s="10"/>
      <c r="J137" s="10"/>
      <c r="K137" s="10"/>
      <c r="L137" s="10"/>
      <c r="M137" s="51"/>
    </row>
    <row r="138" spans="1:13" x14ac:dyDescent="0.2">
      <c r="A138"/>
      <c r="B138"/>
      <c r="C138"/>
      <c r="D138"/>
      <c r="E138" s="7"/>
      <c r="F138"/>
      <c r="G138"/>
      <c r="H138" s="10"/>
      <c r="I138" s="10"/>
      <c r="J138" s="10"/>
      <c r="K138" s="10"/>
      <c r="L138" s="10"/>
      <c r="M138" s="51"/>
    </row>
    <row r="139" spans="1:13" x14ac:dyDescent="0.2">
      <c r="A139"/>
      <c r="B139"/>
      <c r="C139"/>
      <c r="D139"/>
      <c r="E139" s="7"/>
      <c r="F139"/>
      <c r="G139"/>
      <c r="H139" s="10"/>
      <c r="I139" s="10"/>
      <c r="J139" s="10"/>
      <c r="K139" s="10"/>
      <c r="L139" s="10"/>
      <c r="M139" s="51"/>
    </row>
    <row r="140" spans="1:13" x14ac:dyDescent="0.2">
      <c r="A140"/>
      <c r="B140"/>
      <c r="C140"/>
      <c r="D140"/>
      <c r="E140" s="7"/>
      <c r="F140"/>
      <c r="G140"/>
      <c r="H140" s="10"/>
      <c r="I140" s="10"/>
      <c r="J140" s="10"/>
      <c r="K140" s="10"/>
      <c r="L140" s="10"/>
      <c r="M140" s="51"/>
    </row>
    <row r="141" spans="1:13" x14ac:dyDescent="0.2">
      <c r="A141"/>
      <c r="B141"/>
      <c r="C141"/>
      <c r="D141"/>
      <c r="E141" s="7"/>
      <c r="F141"/>
      <c r="G141"/>
      <c r="H141" s="10"/>
      <c r="I141" s="10"/>
      <c r="J141" s="10"/>
      <c r="K141" s="10"/>
      <c r="L141" s="10"/>
      <c r="M141" s="51"/>
    </row>
    <row r="142" spans="1:13" x14ac:dyDescent="0.2">
      <c r="A142"/>
      <c r="B142"/>
      <c r="C142"/>
      <c r="D142"/>
      <c r="E142" s="7"/>
      <c r="F142"/>
      <c r="G142"/>
      <c r="H142" s="10"/>
      <c r="I142" s="10"/>
      <c r="J142" s="10"/>
      <c r="K142" s="10"/>
      <c r="L142" s="10"/>
      <c r="M142" s="51"/>
    </row>
    <row r="143" spans="1:13" x14ac:dyDescent="0.2">
      <c r="A143"/>
      <c r="B143"/>
      <c r="C143"/>
      <c r="D143"/>
      <c r="E143" s="7"/>
      <c r="F143"/>
      <c r="G143"/>
      <c r="H143" s="10"/>
      <c r="I143" s="10"/>
      <c r="J143" s="10"/>
      <c r="K143" s="10"/>
      <c r="L143" s="10"/>
      <c r="M143" s="51"/>
    </row>
    <row r="144" spans="1:13" x14ac:dyDescent="0.2">
      <c r="A144"/>
      <c r="B144"/>
      <c r="C144"/>
      <c r="D144"/>
      <c r="E144" s="7"/>
      <c r="F144"/>
      <c r="G144"/>
      <c r="H144" s="10"/>
      <c r="I144" s="10"/>
      <c r="J144" s="10"/>
      <c r="K144" s="10"/>
      <c r="L144" s="10"/>
      <c r="M144" s="51"/>
    </row>
    <row r="145" spans="1:13" x14ac:dyDescent="0.2">
      <c r="A145"/>
      <c r="B145"/>
      <c r="C145"/>
      <c r="D145"/>
      <c r="E145" s="7"/>
      <c r="F145"/>
      <c r="G145"/>
      <c r="H145" s="10"/>
      <c r="I145" s="10"/>
      <c r="J145" s="10"/>
      <c r="K145" s="10"/>
      <c r="L145" s="10"/>
      <c r="M145" s="51"/>
    </row>
    <row r="146" spans="1:13" x14ac:dyDescent="0.2">
      <c r="A146"/>
      <c r="B146"/>
      <c r="C146"/>
      <c r="D146"/>
      <c r="E146" s="7"/>
      <c r="F146"/>
      <c r="G146"/>
      <c r="H146" s="10"/>
      <c r="I146" s="10"/>
      <c r="J146" s="10"/>
      <c r="K146" s="10"/>
      <c r="L146" s="10"/>
      <c r="M146" s="51"/>
    </row>
    <row r="147" spans="1:13" x14ac:dyDescent="0.2">
      <c r="A147"/>
      <c r="B147"/>
      <c r="C147"/>
      <c r="D147"/>
      <c r="E147" s="7"/>
      <c r="F147"/>
      <c r="G147"/>
      <c r="H147" s="10"/>
      <c r="I147" s="10"/>
      <c r="J147" s="10"/>
      <c r="K147" s="10"/>
      <c r="L147" s="10"/>
      <c r="M147" s="51"/>
    </row>
    <row r="148" spans="1:13" x14ac:dyDescent="0.2">
      <c r="A148"/>
      <c r="B148"/>
      <c r="C148"/>
      <c r="D148"/>
      <c r="E148" s="7"/>
      <c r="F148"/>
      <c r="G148"/>
      <c r="H148" s="10"/>
      <c r="I148" s="10"/>
      <c r="J148" s="10"/>
      <c r="K148" s="10"/>
      <c r="L148" s="10"/>
      <c r="M148" s="51"/>
    </row>
    <row r="149" spans="1:13" x14ac:dyDescent="0.2">
      <c r="A149"/>
      <c r="B149"/>
      <c r="C149"/>
      <c r="D149"/>
      <c r="E149" s="7"/>
      <c r="F149"/>
      <c r="G149"/>
      <c r="H149" s="10"/>
      <c r="I149" s="10"/>
      <c r="J149" s="10"/>
      <c r="K149" s="10"/>
      <c r="L149" s="10"/>
      <c r="M149" s="51"/>
    </row>
    <row r="150" spans="1:13" x14ac:dyDescent="0.2">
      <c r="A150"/>
      <c r="B150"/>
      <c r="C150"/>
      <c r="D150"/>
      <c r="E150" s="7"/>
      <c r="F150"/>
      <c r="G150"/>
      <c r="H150" s="10"/>
      <c r="I150" s="10"/>
      <c r="J150" s="10"/>
      <c r="K150" s="10"/>
      <c r="L150" s="10"/>
      <c r="M150" s="51"/>
    </row>
    <row r="151" spans="1:13" x14ac:dyDescent="0.2">
      <c r="A151"/>
      <c r="B151"/>
      <c r="C151"/>
      <c r="D151"/>
      <c r="E151" s="7"/>
      <c r="F151"/>
      <c r="G151"/>
      <c r="H151" s="10"/>
      <c r="I151" s="10"/>
      <c r="J151" s="10"/>
      <c r="K151" s="10"/>
      <c r="L151" s="10"/>
      <c r="M151" s="51"/>
    </row>
    <row r="152" spans="1:13" x14ac:dyDescent="0.2">
      <c r="A152"/>
      <c r="B152"/>
      <c r="C152"/>
      <c r="D152"/>
      <c r="E152" s="7"/>
      <c r="F152"/>
      <c r="G152"/>
      <c r="H152" s="10"/>
      <c r="I152" s="10"/>
      <c r="J152" s="10"/>
      <c r="K152" s="10"/>
      <c r="L152" s="10"/>
      <c r="M152" s="51"/>
    </row>
    <row r="153" spans="1:13" x14ac:dyDescent="0.2">
      <c r="A153"/>
      <c r="B153"/>
      <c r="C153"/>
      <c r="D153"/>
      <c r="E153" s="7"/>
      <c r="F153"/>
      <c r="G153"/>
      <c r="H153" s="10"/>
      <c r="I153" s="10"/>
      <c r="J153" s="10"/>
      <c r="K153" s="10"/>
      <c r="L153" s="10"/>
      <c r="M153" s="51"/>
    </row>
    <row r="154" spans="1:13" x14ac:dyDescent="0.2">
      <c r="A154"/>
      <c r="B154"/>
      <c r="C154"/>
      <c r="D154"/>
      <c r="E154" s="7"/>
      <c r="F154"/>
      <c r="G154"/>
      <c r="H154" s="10"/>
      <c r="I154" s="10"/>
      <c r="J154" s="10"/>
      <c r="K154" s="10"/>
      <c r="L154" s="10"/>
      <c r="M154" s="51"/>
    </row>
    <row r="155" spans="1:13" x14ac:dyDescent="0.2">
      <c r="A155"/>
      <c r="B155"/>
      <c r="C155"/>
      <c r="D155"/>
      <c r="E155" s="7"/>
      <c r="F155"/>
      <c r="G155"/>
      <c r="H155" s="10"/>
      <c r="I155" s="10"/>
      <c r="J155" s="10"/>
      <c r="K155" s="10"/>
      <c r="L155" s="10"/>
      <c r="M155" s="51"/>
    </row>
    <row r="156" spans="1:13" x14ac:dyDescent="0.2">
      <c r="A156"/>
      <c r="B156"/>
      <c r="C156"/>
      <c r="D156"/>
      <c r="E156" s="7"/>
      <c r="F156"/>
      <c r="G156"/>
      <c r="H156" s="10"/>
      <c r="I156" s="10"/>
      <c r="J156" s="10"/>
      <c r="K156" s="10"/>
      <c r="L156" s="10"/>
      <c r="M156" s="51"/>
    </row>
    <row r="157" spans="1:13" x14ac:dyDescent="0.2">
      <c r="A157"/>
      <c r="B157"/>
      <c r="C157"/>
      <c r="D157"/>
      <c r="E157" s="7"/>
      <c r="F157"/>
      <c r="G157"/>
      <c r="H157" s="10"/>
      <c r="I157" s="10"/>
      <c r="J157" s="10"/>
      <c r="K157" s="10"/>
      <c r="L157" s="10"/>
      <c r="M157" s="51"/>
    </row>
    <row r="158" spans="1:13" x14ac:dyDescent="0.2">
      <c r="A158"/>
      <c r="B158"/>
      <c r="C158"/>
      <c r="D158"/>
      <c r="E158" s="7"/>
      <c r="F158"/>
      <c r="G158"/>
      <c r="H158" s="10"/>
      <c r="I158" s="10"/>
      <c r="J158" s="10"/>
      <c r="K158" s="10"/>
      <c r="L158" s="10"/>
      <c r="M158" s="51"/>
    </row>
    <row r="159" spans="1:13" x14ac:dyDescent="0.2">
      <c r="A159"/>
      <c r="B159"/>
      <c r="C159"/>
      <c r="D159"/>
      <c r="E159" s="7"/>
      <c r="F159"/>
      <c r="G159"/>
      <c r="H159" s="10"/>
      <c r="I159" s="10"/>
      <c r="J159" s="10"/>
      <c r="K159" s="10"/>
      <c r="L159" s="10"/>
      <c r="M159" s="51"/>
    </row>
    <row r="160" spans="1:13" x14ac:dyDescent="0.2">
      <c r="A160"/>
      <c r="B160"/>
      <c r="C160"/>
      <c r="D160"/>
      <c r="E160" s="7"/>
      <c r="F160"/>
      <c r="G160"/>
      <c r="H160" s="10"/>
      <c r="I160" s="10"/>
      <c r="J160" s="10"/>
      <c r="K160" s="10"/>
      <c r="L160" s="10"/>
      <c r="M160" s="51"/>
    </row>
    <row r="161" spans="1:13" x14ac:dyDescent="0.2">
      <c r="A161"/>
      <c r="B161"/>
      <c r="C161"/>
      <c r="D161"/>
      <c r="E161" s="7"/>
      <c r="F161"/>
      <c r="G161"/>
      <c r="H161" s="10"/>
      <c r="I161" s="10"/>
      <c r="J161" s="10"/>
      <c r="K161" s="10"/>
      <c r="L161" s="10"/>
      <c r="M161" s="51"/>
    </row>
    <row r="162" spans="1:13" x14ac:dyDescent="0.2">
      <c r="A162"/>
      <c r="B162"/>
      <c r="C162"/>
      <c r="D162"/>
      <c r="E162" s="7"/>
      <c r="F162"/>
      <c r="G162"/>
      <c r="H162" s="10"/>
      <c r="I162" s="10"/>
      <c r="J162" s="10"/>
      <c r="K162" s="10"/>
      <c r="L162" s="10"/>
      <c r="M162" s="51"/>
    </row>
    <row r="163" spans="1:13" x14ac:dyDescent="0.2">
      <c r="A163"/>
      <c r="B163"/>
      <c r="C163"/>
      <c r="D163"/>
      <c r="E163" s="7"/>
      <c r="F163"/>
      <c r="G163"/>
      <c r="H163" s="10"/>
      <c r="I163" s="10"/>
      <c r="J163" s="10"/>
      <c r="K163" s="10"/>
      <c r="L163" s="10"/>
      <c r="M163" s="51"/>
    </row>
    <row r="164" spans="1:13" x14ac:dyDescent="0.2">
      <c r="A164"/>
      <c r="B164"/>
      <c r="C164"/>
      <c r="D164"/>
      <c r="E164" s="7"/>
      <c r="F164"/>
      <c r="G164"/>
      <c r="H164" s="10"/>
      <c r="I164" s="10"/>
      <c r="J164" s="10"/>
      <c r="K164" s="10"/>
      <c r="L164" s="10"/>
      <c r="M164" s="51"/>
    </row>
    <row r="165" spans="1:13" x14ac:dyDescent="0.2">
      <c r="A165"/>
      <c r="B165"/>
      <c r="C165"/>
      <c r="D165"/>
      <c r="E165" s="7"/>
      <c r="F165"/>
      <c r="G165"/>
      <c r="H165" s="10"/>
      <c r="I165" s="10"/>
      <c r="J165" s="10"/>
      <c r="K165" s="10"/>
      <c r="L165" s="10"/>
      <c r="M165" s="51"/>
    </row>
    <row r="166" spans="1:13" x14ac:dyDescent="0.2">
      <c r="A166"/>
      <c r="B166"/>
      <c r="C166"/>
      <c r="D166"/>
      <c r="E166" s="7"/>
      <c r="F166"/>
      <c r="G166"/>
      <c r="H166" s="10"/>
      <c r="I166" s="10"/>
      <c r="J166" s="10"/>
      <c r="K166" s="10"/>
      <c r="L166" s="10"/>
      <c r="M166" s="51"/>
    </row>
    <row r="167" spans="1:13" x14ac:dyDescent="0.2">
      <c r="A167"/>
      <c r="B167"/>
      <c r="C167"/>
      <c r="D167"/>
      <c r="E167" s="7"/>
      <c r="F167"/>
      <c r="G167"/>
      <c r="H167" s="10"/>
      <c r="I167" s="10"/>
      <c r="J167" s="10"/>
      <c r="K167" s="10"/>
      <c r="L167" s="10"/>
      <c r="M167" s="51"/>
    </row>
    <row r="168" spans="1:13" x14ac:dyDescent="0.2">
      <c r="A168"/>
      <c r="B168"/>
      <c r="C168"/>
      <c r="D168"/>
      <c r="E168" s="7"/>
      <c r="F168"/>
      <c r="G168"/>
      <c r="H168" s="10"/>
      <c r="I168" s="10"/>
      <c r="J168" s="10"/>
      <c r="K168" s="10"/>
      <c r="L168" s="10"/>
      <c r="M168" s="51"/>
    </row>
    <row r="169" spans="1:13" x14ac:dyDescent="0.2">
      <c r="A169"/>
      <c r="B169"/>
      <c r="C169"/>
      <c r="D169"/>
      <c r="E169" s="7"/>
      <c r="F169"/>
      <c r="G169"/>
      <c r="H169" s="10"/>
      <c r="I169" s="10"/>
      <c r="J169" s="10"/>
      <c r="K169" s="10"/>
      <c r="L169" s="10"/>
      <c r="M169" s="51"/>
    </row>
    <row r="170" spans="1:13" x14ac:dyDescent="0.2">
      <c r="A170"/>
      <c r="B170"/>
      <c r="C170"/>
      <c r="D170"/>
      <c r="E170" s="7"/>
      <c r="F170"/>
      <c r="G170"/>
      <c r="H170" s="10"/>
      <c r="I170" s="10"/>
      <c r="J170" s="10"/>
      <c r="K170" s="10"/>
      <c r="L170" s="10"/>
      <c r="M170" s="51"/>
    </row>
    <row r="171" spans="1:13" x14ac:dyDescent="0.2">
      <c r="A171"/>
      <c r="B171"/>
      <c r="C171"/>
      <c r="D171"/>
      <c r="E171" s="7"/>
      <c r="F171"/>
      <c r="G171"/>
      <c r="H171" s="10"/>
      <c r="I171" s="10"/>
      <c r="J171" s="10"/>
      <c r="K171" s="10"/>
      <c r="L171" s="10"/>
      <c r="M171" s="51"/>
    </row>
    <row r="172" spans="1:13" x14ac:dyDescent="0.2">
      <c r="A172"/>
      <c r="B172"/>
      <c r="C172"/>
      <c r="D172"/>
      <c r="E172" s="7"/>
      <c r="F172"/>
      <c r="G172"/>
      <c r="H172" s="10"/>
      <c r="I172" s="10"/>
      <c r="J172" s="10"/>
      <c r="K172" s="10"/>
      <c r="L172" s="10"/>
      <c r="M172" s="51"/>
    </row>
    <row r="173" spans="1:13" x14ac:dyDescent="0.2">
      <c r="A173"/>
      <c r="B173"/>
      <c r="C173"/>
      <c r="D173"/>
      <c r="E173" s="7"/>
      <c r="F173"/>
      <c r="G173"/>
      <c r="H173" s="10"/>
      <c r="I173" s="10"/>
      <c r="J173" s="10"/>
      <c r="K173" s="10"/>
      <c r="L173" s="10"/>
      <c r="M173" s="51"/>
    </row>
    <row r="174" spans="1:13" x14ac:dyDescent="0.2">
      <c r="A174"/>
      <c r="B174"/>
      <c r="C174"/>
      <c r="D174"/>
      <c r="E174" s="7"/>
      <c r="F174"/>
      <c r="G174"/>
      <c r="H174" s="10"/>
      <c r="I174" s="10"/>
      <c r="J174" s="10"/>
      <c r="K174" s="10"/>
      <c r="L174" s="10"/>
      <c r="M174" s="51"/>
    </row>
    <row r="175" spans="1:13" x14ac:dyDescent="0.2">
      <c r="A175"/>
      <c r="B175"/>
      <c r="C175"/>
      <c r="D175"/>
      <c r="E175" s="7"/>
      <c r="F175"/>
      <c r="G175"/>
      <c r="H175" s="10"/>
      <c r="I175" s="10"/>
      <c r="J175" s="10"/>
      <c r="K175" s="10"/>
      <c r="L175" s="10"/>
      <c r="M175" s="51"/>
    </row>
    <row r="176" spans="1:13" x14ac:dyDescent="0.2">
      <c r="A176"/>
      <c r="B176"/>
      <c r="C176"/>
      <c r="D176"/>
      <c r="E176" s="7"/>
      <c r="F176"/>
      <c r="G176"/>
      <c r="H176" s="10"/>
      <c r="I176" s="10"/>
      <c r="J176" s="10"/>
      <c r="K176" s="10"/>
      <c r="L176" s="10"/>
      <c r="M176" s="51"/>
    </row>
    <row r="177" spans="1:13" x14ac:dyDescent="0.2">
      <c r="A177"/>
      <c r="B177"/>
      <c r="C177"/>
      <c r="D177"/>
      <c r="E177" s="7"/>
      <c r="F177"/>
      <c r="G177"/>
      <c r="H177" s="10"/>
      <c r="I177" s="10"/>
      <c r="J177" s="10"/>
      <c r="K177" s="10"/>
      <c r="L177" s="10"/>
      <c r="M177" s="51"/>
    </row>
    <row r="178" spans="1:13" x14ac:dyDescent="0.2">
      <c r="A178"/>
      <c r="B178"/>
      <c r="C178"/>
      <c r="D178"/>
      <c r="E178" s="7"/>
      <c r="F178"/>
      <c r="G178"/>
      <c r="H178" s="10"/>
      <c r="I178" s="10"/>
      <c r="J178" s="10"/>
      <c r="K178" s="10"/>
      <c r="L178" s="10"/>
      <c r="M178" s="51"/>
    </row>
    <row r="179" spans="1:13" x14ac:dyDescent="0.2">
      <c r="A179"/>
      <c r="B179"/>
      <c r="C179"/>
      <c r="D179"/>
      <c r="E179" s="7"/>
      <c r="F179"/>
      <c r="G179"/>
      <c r="H179" s="10"/>
      <c r="I179" s="10"/>
      <c r="J179" s="10"/>
      <c r="K179" s="10"/>
      <c r="L179" s="10"/>
      <c r="M179" s="51"/>
    </row>
    <row r="180" spans="1:13" x14ac:dyDescent="0.2">
      <c r="A180"/>
      <c r="B180"/>
      <c r="C180"/>
      <c r="D180"/>
      <c r="E180" s="7"/>
      <c r="F180"/>
      <c r="G180"/>
      <c r="H180" s="10"/>
      <c r="I180" s="10"/>
      <c r="J180" s="10"/>
      <c r="K180" s="10"/>
      <c r="L180" s="10"/>
      <c r="M180" s="51"/>
    </row>
    <row r="181" spans="1:13" x14ac:dyDescent="0.2">
      <c r="A181"/>
      <c r="B181"/>
      <c r="C181"/>
      <c r="D181"/>
      <c r="E181" s="7"/>
      <c r="F181"/>
      <c r="G181"/>
      <c r="H181" s="10"/>
      <c r="I181" s="10"/>
      <c r="J181" s="10"/>
      <c r="K181" s="10"/>
      <c r="L181" s="10"/>
      <c r="M181" s="51"/>
    </row>
    <row r="182" spans="1:13" x14ac:dyDescent="0.2">
      <c r="A182"/>
      <c r="B182"/>
      <c r="C182"/>
      <c r="D182"/>
      <c r="E182" s="7"/>
      <c r="F182"/>
      <c r="G182"/>
      <c r="H182" s="10"/>
      <c r="I182" s="10"/>
      <c r="J182" s="10"/>
      <c r="K182" s="10"/>
      <c r="L182" s="10"/>
      <c r="M182" s="51"/>
    </row>
    <row r="183" spans="1:13" x14ac:dyDescent="0.2">
      <c r="A183"/>
      <c r="B183"/>
      <c r="C183"/>
      <c r="D183"/>
      <c r="E183" s="7"/>
      <c r="F183"/>
      <c r="G183"/>
      <c r="H183" s="10"/>
      <c r="I183" s="10"/>
      <c r="J183" s="10"/>
      <c r="K183" s="10"/>
      <c r="L183" s="10"/>
      <c r="M183" s="51"/>
    </row>
    <row r="184" spans="1:13" x14ac:dyDescent="0.2">
      <c r="A184"/>
      <c r="B184"/>
      <c r="C184"/>
      <c r="D184"/>
      <c r="E184" s="7"/>
      <c r="F184"/>
      <c r="G184"/>
      <c r="H184" s="10"/>
      <c r="I184" s="10"/>
      <c r="J184" s="10"/>
      <c r="K184" s="10"/>
      <c r="L184" s="10"/>
      <c r="M184" s="51"/>
    </row>
    <row r="185" spans="1:13" x14ac:dyDescent="0.2">
      <c r="A185"/>
      <c r="B185"/>
      <c r="C185"/>
      <c r="D185"/>
      <c r="E185" s="7"/>
      <c r="F185"/>
      <c r="G185"/>
      <c r="H185" s="10"/>
      <c r="I185" s="10"/>
      <c r="J185" s="10"/>
      <c r="K185" s="10"/>
      <c r="L185" s="10"/>
      <c r="M185" s="51"/>
    </row>
    <row r="186" spans="1:13" x14ac:dyDescent="0.2">
      <c r="A186"/>
      <c r="B186"/>
      <c r="C186"/>
      <c r="D186"/>
      <c r="E186" s="7"/>
      <c r="F186"/>
      <c r="G186"/>
      <c r="H186" s="10"/>
      <c r="I186" s="10"/>
      <c r="J186" s="10"/>
      <c r="K186" s="10"/>
      <c r="L186" s="10"/>
      <c r="M186" s="51"/>
    </row>
    <row r="187" spans="1:13" x14ac:dyDescent="0.2">
      <c r="A187"/>
      <c r="B187"/>
      <c r="C187"/>
      <c r="D187"/>
      <c r="E187" s="7"/>
      <c r="F187"/>
      <c r="G187"/>
      <c r="H187" s="10"/>
      <c r="I187" s="10"/>
      <c r="J187" s="10"/>
      <c r="K187" s="10"/>
      <c r="L187" s="10"/>
      <c r="M187" s="51"/>
    </row>
    <row r="188" spans="1:13" x14ac:dyDescent="0.2">
      <c r="A188"/>
      <c r="B188"/>
      <c r="C188"/>
      <c r="D188"/>
      <c r="E188" s="7"/>
      <c r="F188"/>
      <c r="G188"/>
      <c r="H188" s="10"/>
      <c r="I188" s="10"/>
      <c r="J188" s="10"/>
      <c r="K188" s="10"/>
      <c r="L188" s="10"/>
      <c r="M188" s="51"/>
    </row>
    <row r="189" spans="1:13" x14ac:dyDescent="0.2">
      <c r="A189"/>
      <c r="B189"/>
      <c r="C189"/>
      <c r="D189"/>
      <c r="E189" s="7"/>
      <c r="F189"/>
      <c r="G189"/>
      <c r="H189" s="10"/>
      <c r="I189" s="10"/>
      <c r="J189" s="10"/>
      <c r="K189" s="10"/>
      <c r="L189" s="10"/>
      <c r="M189" s="51"/>
    </row>
    <row r="190" spans="1:13" x14ac:dyDescent="0.2">
      <c r="A190"/>
      <c r="B190"/>
      <c r="C190"/>
      <c r="D190"/>
      <c r="E190" s="7"/>
      <c r="F190"/>
      <c r="G190"/>
      <c r="H190" s="10"/>
      <c r="I190" s="10"/>
      <c r="J190" s="10"/>
      <c r="K190" s="10"/>
      <c r="L190" s="10"/>
      <c r="M190" s="51"/>
    </row>
    <row r="191" spans="1:13" x14ac:dyDescent="0.2">
      <c r="A191"/>
      <c r="B191"/>
      <c r="C191"/>
      <c r="D191"/>
      <c r="E191" s="7"/>
      <c r="F191"/>
      <c r="G191"/>
      <c r="H191" s="10"/>
      <c r="I191" s="10"/>
      <c r="J191" s="10"/>
      <c r="K191" s="10"/>
      <c r="L191" s="10"/>
      <c r="M191" s="51"/>
    </row>
    <row r="192" spans="1:13" x14ac:dyDescent="0.2">
      <c r="A192"/>
      <c r="B192"/>
      <c r="C192"/>
      <c r="D192"/>
      <c r="E192" s="7"/>
      <c r="F192"/>
      <c r="G192"/>
      <c r="H192" s="10"/>
      <c r="I192" s="10"/>
      <c r="J192" s="10"/>
      <c r="K192" s="10"/>
      <c r="L192" s="10"/>
      <c r="M192" s="51"/>
    </row>
    <row r="193" spans="1:13" x14ac:dyDescent="0.2">
      <c r="A193"/>
      <c r="B193"/>
      <c r="C193"/>
      <c r="D193"/>
      <c r="E193" s="7"/>
      <c r="F193"/>
      <c r="G193"/>
      <c r="H193" s="10"/>
      <c r="I193" s="10"/>
      <c r="J193" s="10"/>
      <c r="K193" s="10"/>
      <c r="L193" s="10"/>
      <c r="M193" s="51"/>
    </row>
    <row r="194" spans="1:13" x14ac:dyDescent="0.2">
      <c r="A194"/>
      <c r="B194"/>
      <c r="C194"/>
      <c r="D194"/>
      <c r="E194" s="7"/>
      <c r="F194"/>
      <c r="G194"/>
      <c r="H194" s="10"/>
      <c r="I194" s="10"/>
      <c r="J194" s="10"/>
      <c r="K194" s="10"/>
      <c r="L194" s="10"/>
      <c r="M194" s="51"/>
    </row>
    <row r="195" spans="1:13" x14ac:dyDescent="0.2">
      <c r="A195"/>
      <c r="B195"/>
      <c r="C195"/>
      <c r="D195"/>
      <c r="E195" s="7"/>
      <c r="F195"/>
      <c r="G195"/>
      <c r="H195" s="10"/>
      <c r="I195" s="10"/>
      <c r="J195" s="10"/>
      <c r="K195" s="10"/>
      <c r="L195" s="10"/>
      <c r="M195" s="51"/>
    </row>
    <row r="196" spans="1:13" x14ac:dyDescent="0.2">
      <c r="A196"/>
      <c r="B196"/>
      <c r="C196"/>
      <c r="D196"/>
      <c r="E196" s="7"/>
      <c r="F196"/>
      <c r="G196"/>
      <c r="H196" s="10"/>
      <c r="I196" s="10"/>
      <c r="J196" s="10"/>
      <c r="K196" s="10"/>
      <c r="L196" s="10"/>
      <c r="M196" s="51"/>
    </row>
    <row r="197" spans="1:13" x14ac:dyDescent="0.2">
      <c r="A197"/>
      <c r="B197"/>
      <c r="C197"/>
      <c r="D197"/>
      <c r="E197" s="7"/>
      <c r="F197"/>
      <c r="G197"/>
      <c r="H197" s="10"/>
      <c r="I197" s="10"/>
      <c r="J197" s="10"/>
      <c r="K197" s="10"/>
      <c r="L197" s="10"/>
      <c r="M197" s="51"/>
    </row>
    <row r="198" spans="1:13" x14ac:dyDescent="0.2">
      <c r="A198"/>
      <c r="B198"/>
      <c r="C198"/>
      <c r="D198"/>
      <c r="E198" s="7"/>
      <c r="F198"/>
      <c r="G198"/>
      <c r="H198" s="10"/>
      <c r="I198" s="10"/>
      <c r="J198" s="10"/>
      <c r="K198" s="10"/>
      <c r="L198" s="10"/>
      <c r="M198" s="51"/>
    </row>
    <row r="199" spans="1:13" x14ac:dyDescent="0.2">
      <c r="A199"/>
      <c r="B199"/>
      <c r="C199"/>
      <c r="D199"/>
      <c r="E199" s="7"/>
      <c r="F199"/>
      <c r="G199"/>
      <c r="H199" s="10"/>
      <c r="I199" s="10"/>
      <c r="J199" s="10"/>
      <c r="K199" s="10"/>
      <c r="L199" s="10"/>
      <c r="M199" s="51"/>
    </row>
    <row r="200" spans="1:13" x14ac:dyDescent="0.2">
      <c r="A200"/>
      <c r="B200"/>
      <c r="C200"/>
      <c r="D200"/>
      <c r="E200" s="7"/>
      <c r="F200"/>
      <c r="G200"/>
      <c r="H200" s="10"/>
      <c r="I200" s="10"/>
      <c r="J200" s="10"/>
      <c r="K200" s="10"/>
      <c r="L200" s="10"/>
      <c r="M200" s="51"/>
    </row>
    <row r="201" spans="1:13" x14ac:dyDescent="0.2">
      <c r="A201"/>
      <c r="B201"/>
      <c r="C201"/>
      <c r="D201"/>
      <c r="E201" s="7"/>
      <c r="F201"/>
      <c r="G201"/>
      <c r="H201" s="10"/>
      <c r="I201" s="10"/>
      <c r="J201" s="10"/>
      <c r="K201" s="10"/>
      <c r="L201" s="10"/>
      <c r="M201" s="51"/>
    </row>
    <row r="202" spans="1:13" x14ac:dyDescent="0.2">
      <c r="A202"/>
      <c r="B202"/>
      <c r="C202"/>
      <c r="D202"/>
      <c r="E202" s="7"/>
      <c r="F202"/>
      <c r="G202"/>
      <c r="H202" s="10"/>
      <c r="I202" s="10"/>
      <c r="J202" s="10"/>
      <c r="K202" s="10"/>
      <c r="L202" s="10"/>
      <c r="M202" s="51"/>
    </row>
    <row r="203" spans="1:13" x14ac:dyDescent="0.2">
      <c r="A203"/>
      <c r="B203"/>
      <c r="C203"/>
      <c r="D203"/>
      <c r="E203" s="7"/>
      <c r="F203"/>
      <c r="G203"/>
      <c r="H203" s="10"/>
      <c r="I203" s="10"/>
      <c r="J203" s="10"/>
      <c r="K203" s="10"/>
      <c r="L203" s="10"/>
      <c r="M203" s="51"/>
    </row>
    <row r="204" spans="1:13" x14ac:dyDescent="0.2">
      <c r="A204"/>
      <c r="B204"/>
      <c r="C204"/>
      <c r="D204"/>
      <c r="E204" s="7"/>
      <c r="F204"/>
      <c r="G204"/>
      <c r="H204" s="10"/>
      <c r="I204" s="10"/>
      <c r="J204" s="10"/>
      <c r="K204" s="10"/>
      <c r="L204" s="10"/>
      <c r="M204" s="51"/>
    </row>
    <row r="205" spans="1:13" x14ac:dyDescent="0.2">
      <c r="A205"/>
      <c r="B205"/>
      <c r="C205"/>
      <c r="D205"/>
      <c r="E205" s="7"/>
      <c r="F205"/>
      <c r="G205"/>
      <c r="H205" s="10"/>
      <c r="I205" s="10"/>
      <c r="J205" s="10"/>
      <c r="K205" s="10"/>
      <c r="L205" s="10"/>
      <c r="M205" s="51"/>
    </row>
    <row r="206" spans="1:13" x14ac:dyDescent="0.2">
      <c r="A206"/>
      <c r="B206"/>
      <c r="C206"/>
      <c r="D206"/>
      <c r="E206" s="7"/>
      <c r="F206"/>
      <c r="G206"/>
      <c r="H206" s="10"/>
      <c r="I206" s="10"/>
      <c r="J206" s="10"/>
      <c r="K206" s="10"/>
      <c r="L206" s="10"/>
      <c r="M206" s="51"/>
    </row>
    <row r="207" spans="1:13" x14ac:dyDescent="0.2">
      <c r="A207"/>
      <c r="B207"/>
      <c r="C207"/>
      <c r="D207"/>
      <c r="E207" s="7"/>
      <c r="F207"/>
      <c r="G207"/>
      <c r="H207" s="10"/>
      <c r="I207" s="10"/>
      <c r="J207" s="10"/>
      <c r="K207" s="10"/>
      <c r="L207" s="10"/>
      <c r="M207" s="51"/>
    </row>
    <row r="208" spans="1:13" x14ac:dyDescent="0.2">
      <c r="A208"/>
      <c r="B208"/>
      <c r="C208"/>
      <c r="D208"/>
      <c r="E208" s="7"/>
      <c r="F208"/>
      <c r="G208"/>
      <c r="H208" s="10"/>
      <c r="I208" s="10"/>
      <c r="J208" s="10"/>
      <c r="K208" s="10"/>
      <c r="L208" s="10"/>
      <c r="M208" s="51"/>
    </row>
    <row r="209" spans="1:13" x14ac:dyDescent="0.2">
      <c r="A209"/>
      <c r="B209"/>
      <c r="C209"/>
      <c r="D209"/>
      <c r="E209" s="7"/>
      <c r="F209"/>
      <c r="G209"/>
      <c r="H209" s="10"/>
      <c r="I209" s="10"/>
      <c r="J209" s="10"/>
      <c r="K209" s="10"/>
      <c r="L209" s="10"/>
      <c r="M209" s="51"/>
    </row>
    <row r="210" spans="1:13" x14ac:dyDescent="0.2">
      <c r="A210"/>
      <c r="B210"/>
      <c r="C210"/>
      <c r="D210"/>
      <c r="E210" s="7"/>
      <c r="F210"/>
      <c r="G210"/>
      <c r="H210" s="10"/>
      <c r="I210" s="10"/>
      <c r="J210" s="10"/>
      <c r="K210" s="10"/>
      <c r="L210" s="10"/>
      <c r="M210" s="51"/>
    </row>
    <row r="211" spans="1:13" x14ac:dyDescent="0.2">
      <c r="A211"/>
      <c r="B211"/>
      <c r="C211"/>
      <c r="D211"/>
      <c r="E211" s="7"/>
      <c r="F211"/>
      <c r="G211"/>
      <c r="H211" s="10"/>
      <c r="I211" s="10"/>
      <c r="J211" s="10"/>
      <c r="K211" s="10"/>
      <c r="L211" s="10"/>
      <c r="M211" s="51"/>
    </row>
    <row r="212" spans="1:13" x14ac:dyDescent="0.2">
      <c r="A212"/>
      <c r="B212"/>
      <c r="C212"/>
      <c r="D212"/>
      <c r="E212" s="7"/>
      <c r="F212"/>
      <c r="G212"/>
      <c r="H212" s="10"/>
      <c r="I212" s="10"/>
      <c r="J212" s="10"/>
      <c r="K212" s="10"/>
      <c r="L212" s="10"/>
      <c r="M212" s="51"/>
    </row>
    <row r="213" spans="1:13" x14ac:dyDescent="0.2">
      <c r="A213"/>
      <c r="B213"/>
      <c r="C213"/>
      <c r="D213"/>
      <c r="E213" s="7"/>
      <c r="F213"/>
      <c r="G213"/>
      <c r="H213" s="10"/>
      <c r="I213" s="10"/>
      <c r="J213" s="10"/>
      <c r="K213" s="10"/>
      <c r="L213" s="10"/>
      <c r="M213" s="51"/>
    </row>
    <row r="214" spans="1:13" x14ac:dyDescent="0.2">
      <c r="A214"/>
      <c r="B214"/>
      <c r="C214"/>
      <c r="D214"/>
      <c r="E214" s="7"/>
      <c r="F214"/>
      <c r="G214"/>
      <c r="H214" s="10"/>
      <c r="I214" s="10"/>
      <c r="J214" s="10"/>
      <c r="K214" s="10"/>
      <c r="L214" s="10"/>
      <c r="M214" s="51"/>
    </row>
    <row r="215" spans="1:13" x14ac:dyDescent="0.2">
      <c r="A215"/>
      <c r="B215"/>
      <c r="C215"/>
      <c r="D215"/>
      <c r="E215" s="7"/>
      <c r="F215"/>
      <c r="G215"/>
      <c r="H215" s="10"/>
      <c r="I215" s="10"/>
      <c r="J215" s="10"/>
      <c r="K215" s="10"/>
      <c r="L215" s="10"/>
      <c r="M215" s="51"/>
    </row>
    <row r="216" spans="1:13" x14ac:dyDescent="0.2">
      <c r="A216"/>
      <c r="B216"/>
      <c r="C216"/>
      <c r="D216"/>
      <c r="E216" s="7"/>
      <c r="F216"/>
      <c r="G216"/>
      <c r="H216" s="10"/>
      <c r="I216" s="10"/>
      <c r="J216" s="10"/>
      <c r="K216" s="10"/>
      <c r="L216" s="10"/>
      <c r="M216" s="51"/>
    </row>
    <row r="217" spans="1:13" x14ac:dyDescent="0.2">
      <c r="A217"/>
      <c r="B217"/>
      <c r="C217"/>
      <c r="D217"/>
      <c r="E217" s="7"/>
      <c r="F217"/>
      <c r="G217"/>
      <c r="H217" s="10"/>
      <c r="I217" s="10"/>
      <c r="J217" s="10"/>
      <c r="K217" s="10"/>
      <c r="L217" s="10"/>
      <c r="M217" s="51"/>
    </row>
    <row r="218" spans="1:13" x14ac:dyDescent="0.2">
      <c r="A218"/>
      <c r="B218"/>
      <c r="C218"/>
      <c r="D218"/>
      <c r="E218" s="7"/>
      <c r="F218"/>
      <c r="G218"/>
      <c r="H218" s="10"/>
      <c r="I218" s="10"/>
      <c r="J218" s="10"/>
      <c r="K218" s="10"/>
      <c r="L218" s="10"/>
      <c r="M218" s="51"/>
    </row>
    <row r="219" spans="1:13" x14ac:dyDescent="0.2">
      <c r="A219"/>
      <c r="B219"/>
      <c r="C219"/>
      <c r="D219"/>
      <c r="E219" s="7"/>
      <c r="F219"/>
      <c r="G219"/>
      <c r="H219" s="10"/>
      <c r="I219" s="10"/>
      <c r="J219" s="10"/>
      <c r="K219" s="10"/>
      <c r="L219" s="10"/>
      <c r="M219" s="51"/>
    </row>
    <row r="220" spans="1:13" x14ac:dyDescent="0.2">
      <c r="A220"/>
      <c r="B220"/>
      <c r="C220"/>
      <c r="D220"/>
      <c r="E220" s="7"/>
      <c r="F220"/>
      <c r="G220"/>
      <c r="H220" s="10"/>
      <c r="I220" s="10"/>
      <c r="J220" s="10"/>
      <c r="K220" s="10"/>
      <c r="L220" s="10"/>
      <c r="M220" s="51"/>
    </row>
    <row r="221" spans="1:13" x14ac:dyDescent="0.2">
      <c r="A221"/>
      <c r="B221"/>
      <c r="C221"/>
      <c r="D221"/>
      <c r="E221" s="7"/>
      <c r="F221"/>
      <c r="G221"/>
      <c r="H221" s="10"/>
      <c r="I221" s="10"/>
      <c r="J221" s="10"/>
      <c r="K221" s="10"/>
      <c r="L221" s="10"/>
      <c r="M221" s="51"/>
    </row>
    <row r="222" spans="1:13" x14ac:dyDescent="0.2">
      <c r="A222"/>
      <c r="B222"/>
      <c r="C222"/>
      <c r="D222"/>
      <c r="E222" s="7"/>
      <c r="F222"/>
      <c r="G222"/>
      <c r="H222" s="10"/>
      <c r="I222" s="10"/>
      <c r="J222" s="10"/>
      <c r="K222" s="10"/>
      <c r="L222" s="10"/>
      <c r="M222" s="51"/>
    </row>
    <row r="223" spans="1:13" x14ac:dyDescent="0.2">
      <c r="A223"/>
      <c r="B223"/>
      <c r="C223"/>
      <c r="D223"/>
      <c r="E223" s="7"/>
      <c r="F223"/>
      <c r="G223"/>
      <c r="H223" s="10"/>
      <c r="I223" s="10"/>
      <c r="J223" s="10"/>
      <c r="K223" s="10"/>
      <c r="L223" s="10"/>
      <c r="M223" s="51"/>
    </row>
    <row r="224" spans="1:13" x14ac:dyDescent="0.2">
      <c r="A224"/>
      <c r="B224"/>
      <c r="C224"/>
      <c r="D224"/>
      <c r="E224" s="7"/>
      <c r="F224"/>
      <c r="G224"/>
      <c r="H224" s="10"/>
      <c r="I224" s="10"/>
      <c r="J224" s="10"/>
      <c r="K224" s="10"/>
      <c r="L224" s="10"/>
      <c r="M224" s="51"/>
    </row>
    <row r="225" spans="1:13" x14ac:dyDescent="0.2">
      <c r="A225"/>
      <c r="B225"/>
      <c r="C225"/>
      <c r="D225"/>
      <c r="E225" s="7"/>
      <c r="F225"/>
      <c r="G225"/>
      <c r="H225" s="10"/>
      <c r="I225" s="10"/>
      <c r="J225" s="10"/>
      <c r="K225" s="10"/>
      <c r="L225" s="10"/>
      <c r="M225" s="51"/>
    </row>
    <row r="226" spans="1:13" x14ac:dyDescent="0.2">
      <c r="A226"/>
      <c r="B226"/>
      <c r="C226"/>
      <c r="D226"/>
      <c r="E226" s="7"/>
      <c r="F226"/>
      <c r="G226"/>
      <c r="H226" s="10"/>
      <c r="I226" s="10"/>
      <c r="J226" s="10"/>
      <c r="K226" s="10"/>
      <c r="L226" s="10"/>
      <c r="M226" s="51"/>
    </row>
    <row r="227" spans="1:13" x14ac:dyDescent="0.2">
      <c r="A227"/>
      <c r="B227"/>
      <c r="C227"/>
      <c r="D227"/>
      <c r="E227" s="7"/>
      <c r="F227"/>
      <c r="G227"/>
      <c r="H227" s="10"/>
      <c r="I227" s="10"/>
      <c r="J227" s="10"/>
      <c r="K227" s="10"/>
      <c r="L227" s="10"/>
      <c r="M227" s="51"/>
    </row>
    <row r="228" spans="1:13" x14ac:dyDescent="0.2">
      <c r="A228"/>
      <c r="B228"/>
      <c r="C228"/>
      <c r="D228"/>
      <c r="E228" s="7"/>
      <c r="F228"/>
      <c r="G228"/>
      <c r="H228" s="10"/>
      <c r="I228" s="10"/>
      <c r="J228" s="10"/>
      <c r="K228" s="10"/>
      <c r="L228" s="10"/>
      <c r="M228" s="51"/>
    </row>
    <row r="229" spans="1:13" x14ac:dyDescent="0.2">
      <c r="A229"/>
      <c r="B229"/>
      <c r="C229"/>
      <c r="D229"/>
      <c r="E229" s="7"/>
      <c r="F229"/>
      <c r="G229"/>
      <c r="H229" s="10"/>
      <c r="I229" s="10"/>
      <c r="J229" s="10"/>
      <c r="K229" s="10"/>
      <c r="L229" s="10"/>
      <c r="M229" s="51"/>
    </row>
    <row r="230" spans="1:13" x14ac:dyDescent="0.2">
      <c r="A230"/>
      <c r="B230"/>
      <c r="C230"/>
      <c r="D230"/>
      <c r="E230" s="7"/>
      <c r="F230"/>
      <c r="G230"/>
      <c r="H230" s="10"/>
      <c r="I230" s="10"/>
      <c r="J230" s="10"/>
      <c r="K230" s="10"/>
      <c r="L230" s="10"/>
      <c r="M230" s="51"/>
    </row>
    <row r="231" spans="1:13" x14ac:dyDescent="0.2">
      <c r="A231"/>
      <c r="B231"/>
      <c r="C231"/>
      <c r="D231"/>
      <c r="E231" s="7"/>
      <c r="F231"/>
      <c r="G231"/>
      <c r="H231" s="10"/>
      <c r="I231" s="10"/>
      <c r="J231" s="10"/>
      <c r="K231" s="10"/>
      <c r="L231" s="10"/>
      <c r="M231" s="51"/>
    </row>
    <row r="232" spans="1:13" x14ac:dyDescent="0.2">
      <c r="A232"/>
      <c r="B232"/>
      <c r="C232"/>
      <c r="D232"/>
      <c r="E232" s="7"/>
      <c r="F232"/>
      <c r="G232"/>
      <c r="H232" s="10"/>
      <c r="I232" s="10"/>
      <c r="J232" s="10"/>
      <c r="K232" s="10"/>
      <c r="L232" s="10"/>
      <c r="M232" s="51"/>
    </row>
    <row r="233" spans="1:13" x14ac:dyDescent="0.2">
      <c r="A233"/>
      <c r="B233"/>
      <c r="C233"/>
      <c r="D233"/>
      <c r="E233" s="7"/>
      <c r="F233"/>
      <c r="G233"/>
      <c r="H233" s="10"/>
      <c r="I233" s="10"/>
      <c r="J233" s="10"/>
      <c r="K233" s="10"/>
      <c r="L233" s="10"/>
      <c r="M233" s="51"/>
    </row>
    <row r="234" spans="1:13" x14ac:dyDescent="0.2">
      <c r="A234"/>
      <c r="B234"/>
      <c r="C234"/>
      <c r="D234"/>
      <c r="E234" s="7"/>
      <c r="F234"/>
      <c r="G234"/>
      <c r="H234" s="10"/>
      <c r="I234" s="10"/>
      <c r="J234" s="10"/>
      <c r="K234" s="10"/>
      <c r="L234" s="10"/>
      <c r="M234" s="51"/>
    </row>
    <row r="235" spans="1:13" x14ac:dyDescent="0.2">
      <c r="A235"/>
      <c r="B235"/>
      <c r="C235"/>
      <c r="D235"/>
      <c r="E235" s="7"/>
      <c r="F235"/>
      <c r="G235"/>
      <c r="H235" s="10"/>
      <c r="I235" s="10"/>
      <c r="J235" s="10"/>
      <c r="K235" s="10"/>
      <c r="L235" s="10"/>
      <c r="M235" s="51"/>
    </row>
    <row r="236" spans="1:13" x14ac:dyDescent="0.2">
      <c r="A236"/>
      <c r="B236"/>
      <c r="C236"/>
      <c r="D236"/>
      <c r="E236" s="7"/>
      <c r="F236"/>
      <c r="G236"/>
      <c r="H236" s="10"/>
      <c r="I236" s="10"/>
      <c r="J236" s="10"/>
      <c r="K236" s="10"/>
      <c r="L236" s="10"/>
      <c r="M236" s="51"/>
    </row>
    <row r="237" spans="1:13" x14ac:dyDescent="0.2">
      <c r="A237"/>
      <c r="B237"/>
      <c r="C237"/>
      <c r="D237"/>
      <c r="E237" s="7"/>
      <c r="F237"/>
      <c r="G237"/>
      <c r="H237" s="10"/>
      <c r="I237" s="10"/>
      <c r="J237" s="10"/>
      <c r="K237" s="10"/>
      <c r="L237" s="10"/>
      <c r="M237" s="51"/>
    </row>
    <row r="238" spans="1:13" x14ac:dyDescent="0.2">
      <c r="A238"/>
      <c r="B238"/>
      <c r="C238"/>
      <c r="D238"/>
      <c r="E238" s="7"/>
      <c r="F238"/>
      <c r="G238"/>
      <c r="H238" s="10"/>
      <c r="I238" s="10"/>
      <c r="J238" s="10"/>
      <c r="K238" s="10"/>
      <c r="L238" s="10"/>
      <c r="M238" s="51"/>
    </row>
    <row r="239" spans="1:13" x14ac:dyDescent="0.2">
      <c r="A239"/>
      <c r="B239"/>
      <c r="C239"/>
      <c r="D239"/>
      <c r="E239" s="7"/>
      <c r="F239"/>
      <c r="G239"/>
      <c r="H239" s="10"/>
      <c r="I239" s="10"/>
      <c r="J239" s="10"/>
      <c r="K239" s="10"/>
      <c r="L239" s="10"/>
      <c r="M239" s="51"/>
    </row>
    <row r="240" spans="1:13" x14ac:dyDescent="0.2">
      <c r="A240"/>
      <c r="B240"/>
      <c r="C240"/>
      <c r="D240"/>
      <c r="E240" s="7"/>
      <c r="F240"/>
      <c r="G240"/>
      <c r="H240" s="10"/>
      <c r="I240" s="10"/>
      <c r="J240" s="10"/>
      <c r="K240" s="10"/>
      <c r="L240" s="10"/>
      <c r="M240" s="51"/>
    </row>
  </sheetData>
  <autoFilter ref="A1:M240"/>
  <pageMargins left="0.75" right="0.75" top="1" bottom="1" header="0.5" footer="0.5"/>
  <pageSetup scale="7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240"/>
  <sheetViews>
    <sheetView topLeftCell="K1" zoomScale="120" zoomScaleNormal="120" workbookViewId="0">
      <pane ySplit="1" topLeftCell="A41" activePane="bottomLeft" state="frozen"/>
      <selection activeCell="L2" sqref="L2"/>
      <selection pane="bottomLeft" activeCell="M53" sqref="M53"/>
    </sheetView>
  </sheetViews>
  <sheetFormatPr defaultColWidth="9.140625" defaultRowHeight="12.75" x14ac:dyDescent="0.2"/>
  <cols>
    <col min="1" max="1" width="10.140625" style="3" customWidth="1"/>
    <col min="2" max="2" width="25.7109375" style="3" customWidth="1"/>
    <col min="3" max="3" width="13.28515625" style="3" customWidth="1"/>
    <col min="4" max="4" width="13.7109375" style="3" customWidth="1"/>
    <col min="5" max="5" width="11.42578125" style="8" customWidth="1"/>
    <col min="6" max="7" width="8" style="3" customWidth="1"/>
    <col min="8" max="8" width="8" style="11" customWidth="1"/>
    <col min="9" max="9" width="10.5703125" style="11" customWidth="1"/>
    <col min="10" max="10" width="15.28515625" style="11" customWidth="1"/>
    <col min="11" max="11" width="9.140625" style="11" customWidth="1"/>
    <col min="12" max="12" width="8" style="11" customWidth="1"/>
    <col min="13" max="13" width="116.28515625" style="82" customWidth="1"/>
    <col min="14" max="14" width="27.85546875" style="14" bestFit="1" customWidth="1"/>
    <col min="15" max="16384" width="9.140625" style="3"/>
  </cols>
  <sheetData>
    <row r="1" spans="1:14" s="1" customFormat="1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1" t="s">
        <v>5</v>
      </c>
      <c r="G1" s="1" t="s">
        <v>6</v>
      </c>
      <c r="H1" s="9" t="s">
        <v>7</v>
      </c>
      <c r="I1" s="30" t="s">
        <v>8</v>
      </c>
      <c r="J1" s="30" t="s">
        <v>9</v>
      </c>
      <c r="K1" s="16" t="s">
        <v>10</v>
      </c>
      <c r="L1" s="16" t="s">
        <v>11</v>
      </c>
      <c r="M1" s="77" t="s">
        <v>12</v>
      </c>
      <c r="N1" s="13"/>
    </row>
    <row r="2" spans="1:14" x14ac:dyDescent="0.2">
      <c r="A2" s="18" t="s">
        <v>166</v>
      </c>
      <c r="B2" t="s">
        <v>139</v>
      </c>
      <c r="C2" s="5">
        <v>43510</v>
      </c>
      <c r="D2" s="2" t="s">
        <v>44</v>
      </c>
      <c r="E2" s="7">
        <v>14793</v>
      </c>
      <c r="F2"/>
      <c r="G2"/>
      <c r="H2" s="19">
        <f>-0.25-1.91</f>
        <v>-2.16</v>
      </c>
      <c r="I2" s="33">
        <v>143.4</v>
      </c>
      <c r="J2" s="14">
        <v>140.6</v>
      </c>
      <c r="K2" s="24">
        <f>J2-I2</f>
        <v>-2.8000000000000114</v>
      </c>
      <c r="L2" s="47">
        <f>-(937-36)</f>
        <v>-901</v>
      </c>
      <c r="M2" s="2" t="s">
        <v>167</v>
      </c>
      <c r="N2" s="3"/>
    </row>
    <row r="3" spans="1:14" x14ac:dyDescent="0.2">
      <c r="A3" s="18" t="s">
        <v>166</v>
      </c>
      <c r="B3" t="s">
        <v>139</v>
      </c>
      <c r="C3" s="5">
        <v>43510</v>
      </c>
      <c r="D3" s="2" t="s">
        <v>46</v>
      </c>
      <c r="E3" s="7">
        <v>13390040</v>
      </c>
      <c r="F3"/>
      <c r="G3"/>
      <c r="H3" s="19">
        <f>-0.25-1.77</f>
        <v>-2.02</v>
      </c>
      <c r="I3" s="10"/>
      <c r="J3" s="10"/>
      <c r="K3" s="10"/>
      <c r="L3" s="10"/>
      <c r="M3" s="81" t="s">
        <v>165</v>
      </c>
    </row>
    <row r="4" spans="1:14" x14ac:dyDescent="0.2">
      <c r="A4" s="18" t="s">
        <v>166</v>
      </c>
      <c r="B4" t="s">
        <v>139</v>
      </c>
      <c r="C4" s="5">
        <v>43510</v>
      </c>
      <c r="D4" s="2" t="s">
        <v>19</v>
      </c>
      <c r="E4" s="12">
        <v>2112</v>
      </c>
      <c r="F4"/>
      <c r="G4"/>
      <c r="H4" s="10"/>
      <c r="I4" s="10"/>
      <c r="J4" s="10"/>
      <c r="K4" s="10"/>
      <c r="L4" s="10"/>
      <c r="M4" s="51"/>
    </row>
    <row r="5" spans="1:14" x14ac:dyDescent="0.2">
      <c r="A5" s="18" t="s">
        <v>166</v>
      </c>
      <c r="B5" t="s">
        <v>139</v>
      </c>
      <c r="C5" s="5">
        <v>43510</v>
      </c>
      <c r="D5" s="2" t="s">
        <v>20</v>
      </c>
      <c r="E5" s="12"/>
      <c r="F5"/>
      <c r="G5"/>
      <c r="H5" s="10">
        <v>-0.36</v>
      </c>
      <c r="I5" s="10"/>
      <c r="J5" s="10"/>
      <c r="K5" s="10"/>
      <c r="L5" s="10"/>
      <c r="M5" s="51"/>
    </row>
    <row r="6" spans="1:14" x14ac:dyDescent="0.2">
      <c r="A6" s="18" t="s">
        <v>166</v>
      </c>
      <c r="B6" t="s">
        <v>139</v>
      </c>
      <c r="C6" s="5">
        <v>43510</v>
      </c>
      <c r="D6" s="2" t="s">
        <v>21</v>
      </c>
      <c r="E6" s="12"/>
      <c r="F6">
        <v>156312</v>
      </c>
      <c r="G6">
        <v>517467</v>
      </c>
      <c r="H6" s="10">
        <v>1.18</v>
      </c>
      <c r="I6" s="10"/>
      <c r="J6" s="10"/>
      <c r="K6" s="10"/>
      <c r="L6" s="10"/>
      <c r="M6" s="81"/>
    </row>
    <row r="7" spans="1:14" x14ac:dyDescent="0.2">
      <c r="A7" s="18" t="s">
        <v>166</v>
      </c>
      <c r="B7" t="s">
        <v>139</v>
      </c>
      <c r="C7" s="5">
        <v>43523</v>
      </c>
      <c r="D7" s="2" t="s">
        <v>21</v>
      </c>
      <c r="E7" s="7"/>
      <c r="F7">
        <v>156312</v>
      </c>
      <c r="G7">
        <v>517467</v>
      </c>
      <c r="H7" s="10">
        <v>1.19</v>
      </c>
      <c r="I7" s="10"/>
      <c r="J7" s="10"/>
      <c r="K7" s="10"/>
      <c r="L7" s="10"/>
      <c r="M7" s="81"/>
    </row>
    <row r="8" spans="1:14" x14ac:dyDescent="0.2">
      <c r="A8" s="18" t="s">
        <v>166</v>
      </c>
      <c r="B8" t="s">
        <v>139</v>
      </c>
      <c r="C8" s="5">
        <v>43523</v>
      </c>
      <c r="D8" s="2" t="s">
        <v>23</v>
      </c>
      <c r="E8" s="7"/>
      <c r="F8"/>
      <c r="G8"/>
      <c r="H8" s="10">
        <v>-2.4500000000000002</v>
      </c>
      <c r="I8" s="10"/>
      <c r="J8" s="10"/>
      <c r="K8" s="10"/>
      <c r="L8" s="10"/>
      <c r="M8" s="51" t="s">
        <v>50</v>
      </c>
    </row>
    <row r="9" spans="1:14" x14ac:dyDescent="0.2">
      <c r="A9" s="18" t="s">
        <v>166</v>
      </c>
      <c r="B9" t="s">
        <v>139</v>
      </c>
      <c r="C9" s="43">
        <v>43551</v>
      </c>
      <c r="D9" s="2" t="s">
        <v>44</v>
      </c>
      <c r="E9" s="7">
        <v>14793</v>
      </c>
      <c r="F9"/>
      <c r="G9"/>
      <c r="H9" s="10">
        <f>-1.212-0.945</f>
        <v>-2.157</v>
      </c>
      <c r="I9" s="33">
        <v>143.4</v>
      </c>
      <c r="J9" s="14">
        <v>140.6</v>
      </c>
      <c r="K9" s="24">
        <f>J9-I9</f>
        <v>-2.8000000000000114</v>
      </c>
      <c r="L9" s="47">
        <f>-(937-36)</f>
        <v>-901</v>
      </c>
      <c r="M9" s="51"/>
    </row>
    <row r="10" spans="1:14" x14ac:dyDescent="0.2">
      <c r="A10" s="18" t="s">
        <v>166</v>
      </c>
      <c r="B10" t="s">
        <v>139</v>
      </c>
      <c r="C10" s="43">
        <v>43551</v>
      </c>
      <c r="D10" s="2" t="s">
        <v>46</v>
      </c>
      <c r="E10" s="7">
        <v>13390040</v>
      </c>
      <c r="F10"/>
      <c r="G10"/>
      <c r="H10" s="10">
        <f>-1.9033-0.105</f>
        <v>-2.0083000000000002</v>
      </c>
      <c r="I10" s="10"/>
      <c r="J10" s="10"/>
      <c r="K10" s="10"/>
      <c r="L10" s="10"/>
      <c r="M10" s="51"/>
    </row>
    <row r="11" spans="1:14" x14ac:dyDescent="0.2">
      <c r="A11" s="18" t="s">
        <v>166</v>
      </c>
      <c r="B11" t="s">
        <v>139</v>
      </c>
      <c r="C11" s="43">
        <v>43551</v>
      </c>
      <c r="D11" s="2" t="s">
        <v>23</v>
      </c>
      <c r="E11" s="7"/>
      <c r="F11"/>
      <c r="G11"/>
      <c r="H11" s="10">
        <v>-2.4422999999999999</v>
      </c>
      <c r="I11" s="10"/>
      <c r="J11" s="10"/>
      <c r="K11" s="10"/>
      <c r="L11" s="10"/>
      <c r="M11" s="51"/>
    </row>
    <row r="12" spans="1:14" x14ac:dyDescent="0.2">
      <c r="A12" s="18" t="s">
        <v>166</v>
      </c>
      <c r="B12" t="s">
        <v>139</v>
      </c>
      <c r="C12" s="43">
        <v>43551</v>
      </c>
      <c r="D12" s="2" t="s">
        <v>21</v>
      </c>
      <c r="E12" s="7"/>
      <c r="F12">
        <v>156312</v>
      </c>
      <c r="G12">
        <v>517467</v>
      </c>
      <c r="H12" s="10">
        <v>1.1772</v>
      </c>
      <c r="I12" s="10"/>
      <c r="J12" s="10"/>
      <c r="K12" s="10"/>
      <c r="L12" s="10"/>
      <c r="M12" s="51"/>
    </row>
    <row r="13" spans="1:14" x14ac:dyDescent="0.2">
      <c r="A13" s="18" t="s">
        <v>166</v>
      </c>
      <c r="B13" t="s">
        <v>139</v>
      </c>
      <c r="C13" s="43">
        <v>43570</v>
      </c>
      <c r="D13" s="2" t="s">
        <v>44</v>
      </c>
      <c r="E13" s="7">
        <v>14793</v>
      </c>
      <c r="F13"/>
      <c r="G13"/>
      <c r="H13" s="19">
        <f>-0.2587-1.91</f>
        <v>-2.1686999999999999</v>
      </c>
      <c r="I13" s="33">
        <v>143.4</v>
      </c>
      <c r="J13" s="14">
        <v>140.6</v>
      </c>
      <c r="K13" s="24">
        <f>J13-I13</f>
        <v>-2.8000000000000114</v>
      </c>
      <c r="L13" s="47">
        <f>-(937-36)</f>
        <v>-901</v>
      </c>
      <c r="M13" s="51"/>
    </row>
    <row r="14" spans="1:14" x14ac:dyDescent="0.2">
      <c r="A14" s="18" t="s">
        <v>166</v>
      </c>
      <c r="B14" t="s">
        <v>139</v>
      </c>
      <c r="C14" s="43">
        <v>43570</v>
      </c>
      <c r="D14" s="2" t="s">
        <v>46</v>
      </c>
      <c r="E14" s="7">
        <v>13390040</v>
      </c>
      <c r="F14"/>
      <c r="G14"/>
      <c r="H14" s="19">
        <f>-0.2587-1.77</f>
        <v>-2.0287000000000002</v>
      </c>
      <c r="I14" s="10"/>
      <c r="J14" s="10"/>
      <c r="K14" s="10"/>
      <c r="L14" s="10"/>
      <c r="M14" s="51"/>
    </row>
    <row r="15" spans="1:14" x14ac:dyDescent="0.2">
      <c r="A15" s="18" t="s">
        <v>166</v>
      </c>
      <c r="B15" t="s">
        <v>139</v>
      </c>
      <c r="C15" s="43">
        <v>43570</v>
      </c>
      <c r="D15" s="2" t="s">
        <v>23</v>
      </c>
      <c r="E15" s="7"/>
      <c r="F15"/>
      <c r="G15"/>
      <c r="H15" s="10">
        <v>-2.4468000000000001</v>
      </c>
      <c r="I15" s="10"/>
      <c r="J15" s="10"/>
      <c r="K15" s="10"/>
      <c r="L15" s="10"/>
      <c r="M15" s="51"/>
    </row>
    <row r="16" spans="1:14" x14ac:dyDescent="0.2">
      <c r="A16" s="18" t="s">
        <v>166</v>
      </c>
      <c r="B16" t="s">
        <v>139</v>
      </c>
      <c r="C16" s="43">
        <v>43570</v>
      </c>
      <c r="D16" s="2" t="s">
        <v>21</v>
      </c>
      <c r="E16" s="7"/>
      <c r="F16">
        <v>156312</v>
      </c>
      <c r="G16">
        <v>517467</v>
      </c>
      <c r="H16" s="10">
        <v>1.1923999999999999</v>
      </c>
      <c r="I16" s="10"/>
      <c r="J16" s="10"/>
      <c r="K16" s="10"/>
      <c r="L16" s="10"/>
      <c r="M16" s="51"/>
    </row>
    <row r="17" spans="1:13" x14ac:dyDescent="0.2">
      <c r="A17" s="18" t="s">
        <v>166</v>
      </c>
      <c r="B17" t="s">
        <v>139</v>
      </c>
      <c r="C17" s="43">
        <v>43606</v>
      </c>
      <c r="D17" s="2" t="s">
        <v>44</v>
      </c>
      <c r="E17" s="7">
        <v>14793</v>
      </c>
      <c r="F17"/>
      <c r="G17"/>
      <c r="H17" s="19">
        <f>-0.2438-1.91</f>
        <v>-2.1537999999999999</v>
      </c>
      <c r="I17" s="33">
        <v>143.4</v>
      </c>
      <c r="J17" s="14">
        <v>140.6</v>
      </c>
      <c r="K17" s="24">
        <f>J17-I17</f>
        <v>-2.8000000000000114</v>
      </c>
      <c r="L17" s="47">
        <f>-(937-36)</f>
        <v>-901</v>
      </c>
      <c r="M17" s="51"/>
    </row>
    <row r="18" spans="1:13" x14ac:dyDescent="0.2">
      <c r="A18" s="18" t="s">
        <v>166</v>
      </c>
      <c r="B18" t="s">
        <v>139</v>
      </c>
      <c r="C18" s="43">
        <v>43606</v>
      </c>
      <c r="D18" s="2" t="s">
        <v>46</v>
      </c>
      <c r="E18" s="7">
        <v>13390040</v>
      </c>
      <c r="F18"/>
      <c r="G18"/>
      <c r="H18" s="19">
        <f>-0.2438-1.77</f>
        <v>-2.0137999999999998</v>
      </c>
      <c r="I18" s="10"/>
      <c r="J18" s="10"/>
      <c r="K18" s="10"/>
      <c r="L18" s="10"/>
      <c r="M18" s="51"/>
    </row>
    <row r="19" spans="1:13" x14ac:dyDescent="0.2">
      <c r="A19" s="18" t="s">
        <v>166</v>
      </c>
      <c r="B19" t="s">
        <v>139</v>
      </c>
      <c r="C19" s="43">
        <v>43606</v>
      </c>
      <c r="D19" s="2" t="s">
        <v>23</v>
      </c>
      <c r="E19" s="7"/>
      <c r="F19"/>
      <c r="G19"/>
      <c r="H19" s="10">
        <v>-2.4527999999999999</v>
      </c>
      <c r="I19" s="10"/>
      <c r="J19" s="10"/>
      <c r="K19" s="10"/>
      <c r="L19" s="10"/>
      <c r="M19" s="51"/>
    </row>
    <row r="20" spans="1:13" x14ac:dyDescent="0.2">
      <c r="A20" s="18" t="s">
        <v>166</v>
      </c>
      <c r="B20" t="s">
        <v>139</v>
      </c>
      <c r="C20" s="43">
        <v>43606</v>
      </c>
      <c r="D20" s="2" t="s">
        <v>21</v>
      </c>
      <c r="E20" s="7"/>
      <c r="F20">
        <v>156312</v>
      </c>
      <c r="G20">
        <v>517467</v>
      </c>
      <c r="H20" s="10">
        <v>1.2009000000000001</v>
      </c>
      <c r="I20" s="10"/>
      <c r="J20" s="10"/>
      <c r="K20" s="10"/>
      <c r="L20" s="10"/>
      <c r="M20" s="51" t="s">
        <v>29</v>
      </c>
    </row>
    <row r="21" spans="1:13" x14ac:dyDescent="0.2">
      <c r="A21" s="18" t="s">
        <v>166</v>
      </c>
      <c r="B21" t="s">
        <v>139</v>
      </c>
      <c r="C21" s="43">
        <v>43634</v>
      </c>
      <c r="D21" s="2" t="s">
        <v>44</v>
      </c>
      <c r="E21" s="7">
        <v>14793</v>
      </c>
      <c r="F21"/>
      <c r="G21"/>
      <c r="H21" s="19">
        <f>-0.2438-1.91</f>
        <v>-2.1537999999999999</v>
      </c>
      <c r="I21" s="33">
        <v>143.4</v>
      </c>
      <c r="J21" s="14">
        <v>140.6</v>
      </c>
      <c r="K21" s="24">
        <f>J21-I21</f>
        <v>-2.8000000000000114</v>
      </c>
      <c r="L21" s="47">
        <f>-(937-36)</f>
        <v>-901</v>
      </c>
      <c r="M21" s="45">
        <f>-0.2421-1.91</f>
        <v>-2.1520999999999999</v>
      </c>
    </row>
    <row r="22" spans="1:13" x14ac:dyDescent="0.2">
      <c r="A22" s="18" t="s">
        <v>166</v>
      </c>
      <c r="B22" t="s">
        <v>139</v>
      </c>
      <c r="C22" s="43">
        <v>43634</v>
      </c>
      <c r="D22" s="2" t="s">
        <v>46</v>
      </c>
      <c r="E22" s="7">
        <v>13390040</v>
      </c>
      <c r="F22"/>
      <c r="G22"/>
      <c r="H22" s="19">
        <f>-0.2438-1.77</f>
        <v>-2.0137999999999998</v>
      </c>
      <c r="I22" s="10"/>
      <c r="J22" s="10"/>
      <c r="K22" s="10"/>
      <c r="L22" s="10"/>
      <c r="M22" s="45">
        <f>-0.2421-1.77</f>
        <v>-2.0121000000000002</v>
      </c>
    </row>
    <row r="23" spans="1:13" x14ac:dyDescent="0.2">
      <c r="A23" s="18" t="s">
        <v>166</v>
      </c>
      <c r="B23" t="s">
        <v>139</v>
      </c>
      <c r="C23" s="43">
        <v>43634</v>
      </c>
      <c r="D23" s="2" t="s">
        <v>23</v>
      </c>
      <c r="E23" s="7"/>
      <c r="F23"/>
      <c r="G23"/>
      <c r="H23" s="10">
        <v>-2.4527999999999999</v>
      </c>
      <c r="I23" s="10"/>
      <c r="J23" s="10"/>
      <c r="K23" s="10"/>
      <c r="L23" s="10"/>
      <c r="M23" s="46">
        <v>-2.4458000000000002</v>
      </c>
    </row>
    <row r="24" spans="1:13" x14ac:dyDescent="0.2">
      <c r="A24" s="18" t="s">
        <v>166</v>
      </c>
      <c r="B24" t="s">
        <v>139</v>
      </c>
      <c r="C24" s="43">
        <v>43634</v>
      </c>
      <c r="D24" s="2" t="s">
        <v>21</v>
      </c>
      <c r="E24" s="7"/>
      <c r="F24">
        <v>156312</v>
      </c>
      <c r="G24">
        <v>517467</v>
      </c>
      <c r="H24" s="10">
        <v>1.2009000000000001</v>
      </c>
      <c r="I24" s="10"/>
      <c r="J24" s="10"/>
      <c r="K24" s="10"/>
      <c r="L24" s="10"/>
      <c r="M24" s="46">
        <v>1.2055</v>
      </c>
    </row>
    <row r="25" spans="1:13" x14ac:dyDescent="0.2">
      <c r="A25" s="18" t="s">
        <v>166</v>
      </c>
      <c r="B25" t="s">
        <v>139</v>
      </c>
      <c r="C25" s="43">
        <v>43663</v>
      </c>
      <c r="D25" s="2" t="s">
        <v>44</v>
      </c>
      <c r="E25" s="7">
        <v>14793</v>
      </c>
      <c r="F25"/>
      <c r="G25"/>
      <c r="H25" s="19">
        <f>-0.2438-1.91</f>
        <v>-2.1537999999999999</v>
      </c>
      <c r="I25" s="33">
        <v>143.4</v>
      </c>
      <c r="J25" s="14">
        <v>140.6</v>
      </c>
      <c r="K25" s="24">
        <f>J25-I25</f>
        <v>-2.8000000000000114</v>
      </c>
      <c r="L25" s="47">
        <f>-(937-36)</f>
        <v>-901</v>
      </c>
      <c r="M25" s="45">
        <f>-0.2611-1.91</f>
        <v>-2.1711</v>
      </c>
    </row>
    <row r="26" spans="1:13" x14ac:dyDescent="0.2">
      <c r="A26" s="18" t="s">
        <v>166</v>
      </c>
      <c r="B26" t="s">
        <v>139</v>
      </c>
      <c r="C26" s="43">
        <v>43663</v>
      </c>
      <c r="D26" s="2" t="s">
        <v>46</v>
      </c>
      <c r="E26" s="7">
        <v>13390040</v>
      </c>
      <c r="F26"/>
      <c r="G26"/>
      <c r="H26" s="19">
        <f>-0.2438-1.77</f>
        <v>-2.0137999999999998</v>
      </c>
      <c r="I26" s="10"/>
      <c r="J26" s="10"/>
      <c r="K26" s="10"/>
      <c r="L26" s="10"/>
      <c r="M26" s="45">
        <f>-0.2611-1.77</f>
        <v>-2.0310999999999999</v>
      </c>
    </row>
    <row r="27" spans="1:13" x14ac:dyDescent="0.2">
      <c r="A27" s="18" t="s">
        <v>166</v>
      </c>
      <c r="B27" t="s">
        <v>139</v>
      </c>
      <c r="C27" s="43">
        <v>43663</v>
      </c>
      <c r="D27" s="2" t="s">
        <v>23</v>
      </c>
      <c r="E27" s="7"/>
      <c r="F27"/>
      <c r="G27"/>
      <c r="H27" s="10">
        <v>-2.4527999999999999</v>
      </c>
      <c r="I27" s="10"/>
      <c r="J27" s="10"/>
      <c r="K27" s="10"/>
      <c r="L27" s="10"/>
      <c r="M27" s="46">
        <v>-2.4811000000000001</v>
      </c>
    </row>
    <row r="28" spans="1:13" x14ac:dyDescent="0.2">
      <c r="A28" s="18" t="s">
        <v>166</v>
      </c>
      <c r="B28" t="s">
        <v>139</v>
      </c>
      <c r="C28" s="43">
        <v>43663</v>
      </c>
      <c r="D28" s="2" t="s">
        <v>21</v>
      </c>
      <c r="E28" s="7"/>
      <c r="F28">
        <v>156312</v>
      </c>
      <c r="G28">
        <v>517467</v>
      </c>
      <c r="H28" s="10">
        <v>1.2009000000000001</v>
      </c>
      <c r="I28" s="10"/>
      <c r="J28" s="10"/>
      <c r="K28" s="10"/>
      <c r="L28" s="10"/>
      <c r="M28" s="46">
        <v>1.1757</v>
      </c>
    </row>
    <row r="29" spans="1:13" x14ac:dyDescent="0.2">
      <c r="A29" s="18" t="s">
        <v>166</v>
      </c>
      <c r="B29" t="s">
        <v>139</v>
      </c>
      <c r="C29" s="43">
        <v>43689</v>
      </c>
      <c r="D29" s="2" t="s">
        <v>44</v>
      </c>
      <c r="E29" s="7">
        <v>14793</v>
      </c>
      <c r="F29"/>
      <c r="G29"/>
      <c r="H29" s="19">
        <f>-0.238-1.91</f>
        <v>-2.1479999999999997</v>
      </c>
      <c r="I29" s="33">
        <v>143.4</v>
      </c>
      <c r="J29" s="14">
        <v>140.6</v>
      </c>
      <c r="K29" s="24">
        <f>J29-I29</f>
        <v>-2.8000000000000114</v>
      </c>
      <c r="L29" s="47">
        <f>-(937-36)</f>
        <v>-901</v>
      </c>
      <c r="M29" s="45">
        <f>-0.2611-1.91</f>
        <v>-2.1711</v>
      </c>
    </row>
    <row r="30" spans="1:13" x14ac:dyDescent="0.2">
      <c r="A30" s="18" t="s">
        <v>166</v>
      </c>
      <c r="B30" t="s">
        <v>139</v>
      </c>
      <c r="C30" s="43">
        <v>43689</v>
      </c>
      <c r="D30" s="2" t="s">
        <v>46</v>
      </c>
      <c r="E30" s="7">
        <v>13390040</v>
      </c>
      <c r="F30"/>
      <c r="G30"/>
      <c r="H30" s="19">
        <f>-0.238-1.77</f>
        <v>-2.008</v>
      </c>
      <c r="I30" s="10"/>
      <c r="J30" s="10"/>
      <c r="K30" s="10"/>
      <c r="L30" s="10"/>
      <c r="M30" s="45">
        <f>-0.2611-1.77</f>
        <v>-2.0310999999999999</v>
      </c>
    </row>
    <row r="31" spans="1:13" x14ac:dyDescent="0.2">
      <c r="A31" s="18" t="s">
        <v>166</v>
      </c>
      <c r="B31" t="s">
        <v>139</v>
      </c>
      <c r="C31" s="43">
        <v>43689</v>
      </c>
      <c r="D31" s="2" t="s">
        <v>23</v>
      </c>
      <c r="E31" s="7"/>
      <c r="F31"/>
      <c r="G31"/>
      <c r="H31" s="10">
        <v>-2.39</v>
      </c>
      <c r="I31" s="10"/>
      <c r="J31" s="10"/>
      <c r="K31" s="10"/>
      <c r="L31" s="10"/>
      <c r="M31" s="104" t="s">
        <v>168</v>
      </c>
    </row>
    <row r="32" spans="1:13" x14ac:dyDescent="0.2">
      <c r="A32" s="18" t="s">
        <v>166</v>
      </c>
      <c r="B32" t="s">
        <v>139</v>
      </c>
      <c r="C32" s="43">
        <v>43689</v>
      </c>
      <c r="D32" s="2" t="s">
        <v>21</v>
      </c>
      <c r="E32" s="7"/>
      <c r="F32">
        <v>156312</v>
      </c>
      <c r="G32">
        <v>517467</v>
      </c>
      <c r="H32" s="10">
        <v>1.19</v>
      </c>
      <c r="I32" s="10"/>
      <c r="J32" s="10"/>
      <c r="K32" s="10"/>
      <c r="L32" s="10"/>
      <c r="M32" s="46">
        <v>1.1757</v>
      </c>
    </row>
    <row r="33" spans="1:14" s="4" customFormat="1" x14ac:dyDescent="0.2">
      <c r="A33" s="18" t="s">
        <v>166</v>
      </c>
      <c r="B33" t="s">
        <v>139</v>
      </c>
      <c r="C33" s="43">
        <v>43718</v>
      </c>
      <c r="D33" s="2" t="s">
        <v>44</v>
      </c>
      <c r="E33" s="7">
        <v>14793</v>
      </c>
      <c r="F33"/>
      <c r="G33"/>
      <c r="H33" s="19">
        <f>-0.238-1.91</f>
        <v>-2.1479999999999997</v>
      </c>
      <c r="I33" s="33">
        <v>143.4</v>
      </c>
      <c r="J33" s="14">
        <v>140.6</v>
      </c>
      <c r="K33" s="24">
        <f>J33-I33</f>
        <v>-2.8000000000000114</v>
      </c>
      <c r="L33" s="47">
        <f>-(937-36)</f>
        <v>-901</v>
      </c>
      <c r="M33" s="81" t="s">
        <v>169</v>
      </c>
      <c r="N33" s="15"/>
    </row>
    <row r="34" spans="1:14" x14ac:dyDescent="0.2">
      <c r="A34" s="18" t="s">
        <v>166</v>
      </c>
      <c r="B34" t="s">
        <v>139</v>
      </c>
      <c r="C34" s="43">
        <v>43718</v>
      </c>
      <c r="D34" s="2" t="s">
        <v>46</v>
      </c>
      <c r="E34" s="7">
        <v>13390040</v>
      </c>
      <c r="F34"/>
      <c r="G34"/>
      <c r="H34" s="19">
        <f>-0.238-1.77</f>
        <v>-2.008</v>
      </c>
      <c r="I34" s="10"/>
      <c r="J34" s="10"/>
      <c r="K34" s="10"/>
      <c r="L34" s="10"/>
      <c r="M34" s="81" t="s">
        <v>169</v>
      </c>
    </row>
    <row r="35" spans="1:14" x14ac:dyDescent="0.2">
      <c r="A35" s="18" t="s">
        <v>166</v>
      </c>
      <c r="B35" t="s">
        <v>139</v>
      </c>
      <c r="C35" s="43">
        <v>43718</v>
      </c>
      <c r="D35" s="2" t="s">
        <v>23</v>
      </c>
      <c r="E35" s="7"/>
      <c r="F35"/>
      <c r="G35"/>
      <c r="H35" s="10">
        <v>-2.39</v>
      </c>
      <c r="I35" s="10"/>
      <c r="J35" s="10"/>
      <c r="K35" s="10"/>
      <c r="L35" s="10"/>
      <c r="M35" s="81" t="s">
        <v>169</v>
      </c>
    </row>
    <row r="36" spans="1:14" s="126" customFormat="1" ht="13.5" thickBot="1" x14ac:dyDescent="0.25">
      <c r="A36" s="117" t="s">
        <v>166</v>
      </c>
      <c r="B36" s="118" t="s">
        <v>139</v>
      </c>
      <c r="C36" s="119">
        <v>43718</v>
      </c>
      <c r="D36" s="120" t="s">
        <v>21</v>
      </c>
      <c r="E36" s="121"/>
      <c r="F36" s="118">
        <v>156312</v>
      </c>
      <c r="G36" s="118">
        <v>517467</v>
      </c>
      <c r="H36" s="123">
        <v>1.19</v>
      </c>
      <c r="I36" s="123"/>
      <c r="J36" s="123"/>
      <c r="K36" s="123"/>
      <c r="L36" s="123"/>
      <c r="M36" s="127" t="s">
        <v>169</v>
      </c>
      <c r="N36" s="125"/>
    </row>
    <row r="37" spans="1:14" x14ac:dyDescent="0.2">
      <c r="A37" s="115" t="s">
        <v>166</v>
      </c>
      <c r="B37" s="20" t="s">
        <v>139</v>
      </c>
      <c r="C37" s="43">
        <v>43992</v>
      </c>
      <c r="D37" s="41" t="s">
        <v>44</v>
      </c>
      <c r="E37" s="42">
        <v>14793</v>
      </c>
      <c r="F37" s="20"/>
      <c r="G37" s="20"/>
      <c r="H37" s="53">
        <f>-0.3528-1.91</f>
        <v>-2.2627999999999999</v>
      </c>
      <c r="I37" s="33">
        <v>143.4</v>
      </c>
      <c r="J37" s="60">
        <v>140.6</v>
      </c>
      <c r="K37" s="84">
        <f>J37-I37</f>
        <v>-2.8000000000000114</v>
      </c>
      <c r="L37" s="93">
        <v>-892</v>
      </c>
      <c r="M37" s="45">
        <f>-0.3528-1.91</f>
        <v>-2.2627999999999999</v>
      </c>
    </row>
    <row r="38" spans="1:14" x14ac:dyDescent="0.2">
      <c r="A38" s="115" t="s">
        <v>166</v>
      </c>
      <c r="B38" s="20" t="s">
        <v>139</v>
      </c>
      <c r="C38" s="43">
        <v>43992</v>
      </c>
      <c r="D38" s="41" t="s">
        <v>46</v>
      </c>
      <c r="E38" s="42">
        <v>13390040</v>
      </c>
      <c r="F38" s="20"/>
      <c r="G38" s="20"/>
      <c r="H38" s="53">
        <f>-0.3528-1.77</f>
        <v>-2.1227999999999998</v>
      </c>
      <c r="I38" s="19"/>
      <c r="J38" s="19"/>
      <c r="K38" s="19"/>
      <c r="L38" s="19"/>
      <c r="M38" s="45">
        <f>-0.3528-1.77</f>
        <v>-2.1227999999999998</v>
      </c>
    </row>
    <row r="39" spans="1:14" x14ac:dyDescent="0.2">
      <c r="A39" s="115" t="s">
        <v>166</v>
      </c>
      <c r="B39" s="20" t="s">
        <v>139</v>
      </c>
      <c r="C39" s="43">
        <v>43992</v>
      </c>
      <c r="D39" s="41" t="s">
        <v>23</v>
      </c>
      <c r="E39" s="42"/>
      <c r="F39" s="20"/>
      <c r="G39" s="20"/>
      <c r="H39" s="19">
        <v>-2.5102000000000002</v>
      </c>
      <c r="I39" s="19"/>
      <c r="J39" s="19"/>
      <c r="K39" s="19"/>
      <c r="L39" s="19"/>
      <c r="M39" s="45">
        <v>-2.5102000000000002</v>
      </c>
    </row>
    <row r="40" spans="1:14" x14ac:dyDescent="0.2">
      <c r="A40" s="115" t="s">
        <v>166</v>
      </c>
      <c r="B40" s="20" t="s">
        <v>139</v>
      </c>
      <c r="C40" s="43">
        <v>43992</v>
      </c>
      <c r="D40" s="41" t="s">
        <v>21</v>
      </c>
      <c r="E40" s="42"/>
      <c r="F40" s="20">
        <v>156312</v>
      </c>
      <c r="G40" s="20">
        <v>517467</v>
      </c>
      <c r="H40" s="32">
        <v>2.2206999999999999</v>
      </c>
      <c r="I40" s="19"/>
      <c r="J40" s="19"/>
      <c r="K40" s="19"/>
      <c r="L40" s="19"/>
      <c r="M40" s="80">
        <v>2.2206999999999999</v>
      </c>
    </row>
    <row r="41" spans="1:14" x14ac:dyDescent="0.2">
      <c r="A41" s="115" t="s">
        <v>166</v>
      </c>
      <c r="B41" s="20" t="s">
        <v>139</v>
      </c>
      <c r="C41" s="43">
        <v>44026</v>
      </c>
      <c r="D41" s="41" t="s">
        <v>44</v>
      </c>
      <c r="E41" s="42">
        <v>14793</v>
      </c>
      <c r="F41" s="20"/>
      <c r="G41" s="20"/>
      <c r="H41" s="53">
        <f>-0.3528-1.91</f>
        <v>-2.2627999999999999</v>
      </c>
      <c r="I41" s="33">
        <v>143.4</v>
      </c>
      <c r="J41" s="60">
        <v>140.6</v>
      </c>
      <c r="K41" s="84">
        <f>J41-I41</f>
        <v>-2.8000000000000114</v>
      </c>
      <c r="L41" s="93">
        <v>-884</v>
      </c>
      <c r="M41" s="45">
        <f>-0.3471-1.91</f>
        <v>-2.2570999999999999</v>
      </c>
    </row>
    <row r="42" spans="1:14" x14ac:dyDescent="0.2">
      <c r="A42" s="115" t="s">
        <v>166</v>
      </c>
      <c r="B42" s="20" t="s">
        <v>139</v>
      </c>
      <c r="C42" s="43">
        <v>44026</v>
      </c>
      <c r="D42" s="41" t="s">
        <v>46</v>
      </c>
      <c r="E42" s="42">
        <v>13390040</v>
      </c>
      <c r="F42" s="20"/>
      <c r="G42" s="20"/>
      <c r="H42" s="53">
        <f>-0.3528-1.77</f>
        <v>-2.1227999999999998</v>
      </c>
      <c r="I42" s="19"/>
      <c r="J42" s="19"/>
      <c r="K42" s="19"/>
      <c r="L42" s="19"/>
      <c r="M42" s="45">
        <f>-0.3471-1.77</f>
        <v>-2.1171000000000002</v>
      </c>
    </row>
    <row r="43" spans="1:14" x14ac:dyDescent="0.2">
      <c r="A43" s="115" t="s">
        <v>166</v>
      </c>
      <c r="B43" s="20" t="s">
        <v>139</v>
      </c>
      <c r="C43" s="43">
        <v>44026</v>
      </c>
      <c r="D43" s="41" t="s">
        <v>23</v>
      </c>
      <c r="E43" s="42"/>
      <c r="F43" s="20"/>
      <c r="G43" s="20"/>
      <c r="H43" s="19">
        <v>-2.5102000000000002</v>
      </c>
      <c r="I43" s="19"/>
      <c r="J43" s="19"/>
      <c r="K43" s="19"/>
      <c r="L43" s="19"/>
      <c r="M43" s="45">
        <v>-2.5059999999999998</v>
      </c>
    </row>
    <row r="44" spans="1:14" x14ac:dyDescent="0.2">
      <c r="A44" s="115" t="s">
        <v>166</v>
      </c>
      <c r="B44" s="20" t="s">
        <v>139</v>
      </c>
      <c r="C44" s="43">
        <v>44026</v>
      </c>
      <c r="D44" s="41" t="s">
        <v>21</v>
      </c>
      <c r="E44" s="42"/>
      <c r="F44" s="20">
        <v>156312</v>
      </c>
      <c r="G44" s="20">
        <v>517467</v>
      </c>
      <c r="H44" s="32">
        <v>2.2206999999999999</v>
      </c>
      <c r="I44" s="19"/>
      <c r="J44" s="19"/>
      <c r="K44" s="19"/>
      <c r="L44" s="19"/>
      <c r="M44" s="50">
        <v>2.1888000000000001</v>
      </c>
    </row>
    <row r="45" spans="1:14" x14ac:dyDescent="0.2">
      <c r="A45" t="s">
        <v>166</v>
      </c>
      <c r="B45" t="s">
        <v>139</v>
      </c>
      <c r="C45" s="5">
        <v>44054</v>
      </c>
      <c r="D45" t="s">
        <v>44</v>
      </c>
      <c r="E45" s="7">
        <v>14793</v>
      </c>
      <c r="F45"/>
      <c r="G45"/>
      <c r="H45" s="10">
        <v>-2.2599999999999998</v>
      </c>
      <c r="I45" s="33">
        <v>143.4</v>
      </c>
      <c r="J45" s="60">
        <v>140.6</v>
      </c>
      <c r="K45" s="84">
        <f>J45-I45</f>
        <v>-2.8000000000000114</v>
      </c>
      <c r="L45" s="93">
        <v>-884</v>
      </c>
      <c r="M45" s="51">
        <v>-2.25</v>
      </c>
    </row>
    <row r="46" spans="1:14" x14ac:dyDescent="0.2">
      <c r="A46" t="s">
        <v>166</v>
      </c>
      <c r="B46" t="s">
        <v>139</v>
      </c>
      <c r="C46" s="5">
        <v>44054</v>
      </c>
      <c r="D46" t="s">
        <v>46</v>
      </c>
      <c r="E46" s="7">
        <v>13390040</v>
      </c>
      <c r="F46"/>
      <c r="G46"/>
      <c r="H46" s="10">
        <v>-2.12</v>
      </c>
      <c r="I46" s="10"/>
      <c r="J46" s="10"/>
      <c r="K46" s="10"/>
      <c r="L46" s="10"/>
      <c r="M46" s="51">
        <v>-2.11</v>
      </c>
    </row>
    <row r="47" spans="1:14" x14ac:dyDescent="0.2">
      <c r="A47" t="s">
        <v>166</v>
      </c>
      <c r="B47" t="s">
        <v>139</v>
      </c>
      <c r="C47" s="5">
        <v>44054</v>
      </c>
      <c r="D47" t="s">
        <v>23</v>
      </c>
      <c r="E47" s="7"/>
      <c r="F47"/>
      <c r="G47"/>
      <c r="H47" s="10">
        <v>-2.48</v>
      </c>
      <c r="I47" s="10"/>
      <c r="J47" s="10"/>
      <c r="K47" s="10"/>
      <c r="L47" s="10"/>
      <c r="M47" s="51">
        <v>-2.48</v>
      </c>
    </row>
    <row r="48" spans="1:14" x14ac:dyDescent="0.2">
      <c r="A48" t="s">
        <v>166</v>
      </c>
      <c r="B48" t="s">
        <v>139</v>
      </c>
      <c r="C48" s="5">
        <v>44054</v>
      </c>
      <c r="D48" t="s">
        <v>21</v>
      </c>
      <c r="E48" s="7"/>
      <c r="F48">
        <v>156312</v>
      </c>
      <c r="G48">
        <v>517467</v>
      </c>
      <c r="H48" s="10">
        <v>2.2200000000000002</v>
      </c>
      <c r="I48" s="10"/>
      <c r="J48" s="10"/>
      <c r="K48" s="10"/>
      <c r="L48" s="10"/>
      <c r="M48" s="46">
        <v>2.2000000000000002</v>
      </c>
    </row>
    <row r="49" spans="1:14" x14ac:dyDescent="0.2">
      <c r="A49" t="s">
        <v>166</v>
      </c>
      <c r="B49" t="s">
        <v>139</v>
      </c>
      <c r="C49" s="5">
        <v>44083</v>
      </c>
      <c r="D49" t="s">
        <v>44</v>
      </c>
      <c r="E49" s="7">
        <v>14793</v>
      </c>
      <c r="F49"/>
      <c r="G49"/>
      <c r="H49" s="10">
        <v>-2.2599999999999998</v>
      </c>
      <c r="I49" s="33">
        <v>143.4</v>
      </c>
      <c r="J49" s="60">
        <v>140.6</v>
      </c>
      <c r="K49" s="84">
        <f>J49-I49</f>
        <v>-2.8000000000000114</v>
      </c>
      <c r="L49" s="93">
        <v>-884</v>
      </c>
      <c r="M49" s="45">
        <f>-0.3638-1.91</f>
        <v>-2.2738</v>
      </c>
    </row>
    <row r="50" spans="1:14" x14ac:dyDescent="0.2">
      <c r="A50" t="s">
        <v>166</v>
      </c>
      <c r="B50" t="s">
        <v>139</v>
      </c>
      <c r="C50" s="5">
        <v>44083</v>
      </c>
      <c r="D50" t="s">
        <v>46</v>
      </c>
      <c r="E50" s="7">
        <v>13390040</v>
      </c>
      <c r="F50"/>
      <c r="G50"/>
      <c r="H50" s="10">
        <v>-2.12</v>
      </c>
      <c r="I50" s="10"/>
      <c r="J50" s="10"/>
      <c r="K50" s="10"/>
      <c r="L50" s="10"/>
      <c r="M50" s="45">
        <f>-0.3638-1.77</f>
        <v>-2.1337999999999999</v>
      </c>
    </row>
    <row r="51" spans="1:14" x14ac:dyDescent="0.2">
      <c r="A51" t="s">
        <v>166</v>
      </c>
      <c r="B51" t="s">
        <v>139</v>
      </c>
      <c r="C51" s="5">
        <v>44083</v>
      </c>
      <c r="D51" t="s">
        <v>23</v>
      </c>
      <c r="E51" s="7"/>
      <c r="F51"/>
      <c r="G51"/>
      <c r="H51" s="37">
        <v>-2.5217000000000001</v>
      </c>
      <c r="I51" s="10"/>
      <c r="J51" s="10"/>
      <c r="K51" s="10"/>
      <c r="L51" s="10"/>
      <c r="M51" s="51">
        <v>-2.5217000000000001</v>
      </c>
    </row>
    <row r="52" spans="1:14" x14ac:dyDescent="0.2">
      <c r="A52" t="s">
        <v>166</v>
      </c>
      <c r="B52" t="s">
        <v>139</v>
      </c>
      <c r="C52" s="5">
        <v>44083</v>
      </c>
      <c r="D52" t="s">
        <v>21</v>
      </c>
      <c r="E52" s="7"/>
      <c r="F52">
        <v>156312</v>
      </c>
      <c r="G52">
        <v>517467</v>
      </c>
      <c r="H52" s="10">
        <v>2.1850999999999998</v>
      </c>
      <c r="I52" s="10"/>
      <c r="J52" s="10"/>
      <c r="K52" s="10"/>
      <c r="L52" s="10"/>
      <c r="M52" s="46">
        <v>2.1850999999999998</v>
      </c>
    </row>
    <row r="53" spans="1:14" x14ac:dyDescent="0.2">
      <c r="A53" t="s">
        <v>166</v>
      </c>
      <c r="B53" t="s">
        <v>139</v>
      </c>
      <c r="C53" s="5">
        <v>44138</v>
      </c>
      <c r="D53" t="s">
        <v>44</v>
      </c>
      <c r="E53" s="7">
        <v>14793</v>
      </c>
      <c r="F53"/>
      <c r="G53"/>
      <c r="H53" s="10">
        <v>-2.2599999999999998</v>
      </c>
      <c r="I53" s="33">
        <v>143.4</v>
      </c>
      <c r="J53" s="60">
        <v>140.6</v>
      </c>
      <c r="K53" s="84">
        <f>J53-I53</f>
        <v>-2.8000000000000114</v>
      </c>
      <c r="L53" s="93">
        <v>-884</v>
      </c>
      <c r="M53" s="45">
        <f>-0.3803-1.91</f>
        <v>-2.2902999999999998</v>
      </c>
    </row>
    <row r="54" spans="1:14" x14ac:dyDescent="0.2">
      <c r="A54" t="s">
        <v>166</v>
      </c>
      <c r="B54" t="s">
        <v>139</v>
      </c>
      <c r="C54" s="5">
        <v>44138</v>
      </c>
      <c r="D54" t="s">
        <v>46</v>
      </c>
      <c r="E54" s="7">
        <v>13390040</v>
      </c>
      <c r="F54"/>
      <c r="G54"/>
      <c r="H54" s="10">
        <v>-2.12</v>
      </c>
      <c r="I54" s="10"/>
      <c r="J54" s="10"/>
      <c r="K54" s="10"/>
      <c r="L54" s="10"/>
      <c r="M54" s="45">
        <f>-0.3803-1.77</f>
        <v>-2.1503000000000001</v>
      </c>
    </row>
    <row r="55" spans="1:14" x14ac:dyDescent="0.2">
      <c r="A55" t="s">
        <v>166</v>
      </c>
      <c r="B55" t="s">
        <v>139</v>
      </c>
      <c r="C55" s="5">
        <v>44138</v>
      </c>
      <c r="D55" t="s">
        <v>23</v>
      </c>
      <c r="E55" s="7"/>
      <c r="F55"/>
      <c r="G55"/>
      <c r="H55" s="37">
        <v>-2.5325000000000002</v>
      </c>
      <c r="I55" s="10"/>
      <c r="J55" s="10"/>
      <c r="K55" s="10"/>
      <c r="L55" s="10"/>
      <c r="M55" s="51">
        <v>-2.5325000000000002</v>
      </c>
    </row>
    <row r="56" spans="1:14" s="126" customFormat="1" ht="13.5" thickBot="1" x14ac:dyDescent="0.25">
      <c r="A56" s="117" t="s">
        <v>166</v>
      </c>
      <c r="B56" s="118" t="s">
        <v>139</v>
      </c>
      <c r="C56" s="119">
        <v>44138</v>
      </c>
      <c r="D56" s="120" t="s">
        <v>21</v>
      </c>
      <c r="E56" s="128"/>
      <c r="F56" s="118">
        <v>156312</v>
      </c>
      <c r="G56" s="118">
        <v>517467</v>
      </c>
      <c r="H56" s="122">
        <v>2.1850999999999998</v>
      </c>
      <c r="I56" s="123"/>
      <c r="J56" s="123"/>
      <c r="K56" s="123"/>
      <c r="L56" s="123"/>
      <c r="M56" s="124">
        <v>2.1634000000000002</v>
      </c>
      <c r="N56" s="125"/>
    </row>
    <row r="57" spans="1:14" x14ac:dyDescent="0.2">
      <c r="A57"/>
      <c r="B57"/>
      <c r="C57"/>
      <c r="D57"/>
      <c r="E57" s="7"/>
      <c r="F57"/>
      <c r="G57"/>
      <c r="H57" s="10"/>
      <c r="I57" s="10"/>
      <c r="J57" s="10"/>
      <c r="K57" s="10"/>
      <c r="L57" s="10"/>
      <c r="M57" s="51"/>
    </row>
    <row r="58" spans="1:14" x14ac:dyDescent="0.2">
      <c r="A58"/>
      <c r="B58"/>
      <c r="C58"/>
      <c r="D58"/>
      <c r="E58" s="7"/>
      <c r="F58"/>
      <c r="G58"/>
      <c r="H58" s="10"/>
      <c r="I58" s="10"/>
      <c r="J58" s="10"/>
      <c r="K58" s="10"/>
      <c r="L58" s="10"/>
      <c r="M58" s="51"/>
    </row>
    <row r="59" spans="1:14" x14ac:dyDescent="0.2">
      <c r="A59"/>
      <c r="B59"/>
      <c r="C59"/>
      <c r="D59"/>
      <c r="E59" s="7"/>
      <c r="F59"/>
      <c r="G59"/>
      <c r="H59" s="10"/>
      <c r="I59" s="10"/>
      <c r="J59" s="10"/>
      <c r="K59" s="10"/>
      <c r="L59" s="10"/>
      <c r="M59" s="51"/>
    </row>
    <row r="60" spans="1:14" x14ac:dyDescent="0.2">
      <c r="A60"/>
      <c r="B60"/>
      <c r="C60"/>
      <c r="D60"/>
      <c r="E60" s="7"/>
      <c r="F60"/>
      <c r="G60"/>
      <c r="H60" s="10"/>
      <c r="I60" s="10"/>
      <c r="J60" s="10"/>
      <c r="K60" s="10"/>
      <c r="L60" s="10"/>
      <c r="M60" s="51"/>
    </row>
    <row r="61" spans="1:14" x14ac:dyDescent="0.2">
      <c r="A61"/>
      <c r="B61"/>
      <c r="C61"/>
      <c r="D61"/>
      <c r="E61" s="7"/>
      <c r="F61"/>
      <c r="G61"/>
      <c r="H61" s="10"/>
      <c r="I61" s="10"/>
      <c r="J61" s="10"/>
      <c r="K61" s="10"/>
      <c r="L61" s="10"/>
      <c r="M61" s="51"/>
    </row>
    <row r="62" spans="1:14" x14ac:dyDescent="0.2">
      <c r="A62"/>
      <c r="B62"/>
      <c r="C62"/>
      <c r="D62"/>
      <c r="E62" s="7"/>
      <c r="F62"/>
      <c r="G62"/>
      <c r="H62" s="10"/>
      <c r="I62" s="10"/>
      <c r="J62" s="10"/>
      <c r="K62" s="10"/>
      <c r="L62" s="10"/>
      <c r="M62" s="51"/>
    </row>
    <row r="63" spans="1:14" x14ac:dyDescent="0.2">
      <c r="A63"/>
      <c r="B63"/>
      <c r="C63"/>
      <c r="D63"/>
      <c r="E63" s="7"/>
      <c r="F63"/>
      <c r="G63"/>
      <c r="H63" s="10"/>
      <c r="I63" s="10"/>
      <c r="J63" s="10"/>
      <c r="K63" s="10"/>
      <c r="L63" s="10"/>
      <c r="M63" s="51"/>
    </row>
    <row r="64" spans="1:14" x14ac:dyDescent="0.2">
      <c r="A64"/>
      <c r="B64"/>
      <c r="C64"/>
      <c r="D64"/>
      <c r="E64" s="7"/>
      <c r="F64"/>
      <c r="G64"/>
      <c r="H64" s="10"/>
      <c r="I64" s="10"/>
      <c r="J64" s="10"/>
      <c r="K64" s="10"/>
      <c r="L64" s="10"/>
      <c r="M64" s="51"/>
    </row>
    <row r="65" spans="1:13" x14ac:dyDescent="0.2">
      <c r="A65"/>
      <c r="B65"/>
      <c r="C65"/>
      <c r="D65"/>
      <c r="E65" s="7"/>
      <c r="F65"/>
      <c r="G65"/>
      <c r="H65" s="10"/>
      <c r="I65" s="10"/>
      <c r="J65" s="10"/>
      <c r="K65" s="10"/>
      <c r="L65" s="10"/>
      <c r="M65" s="51"/>
    </row>
    <row r="66" spans="1:13" x14ac:dyDescent="0.2">
      <c r="A66"/>
      <c r="B66"/>
      <c r="C66"/>
      <c r="D66"/>
      <c r="E66" s="7"/>
      <c r="F66"/>
      <c r="G66"/>
      <c r="H66" s="10"/>
      <c r="I66" s="10"/>
      <c r="J66" s="10"/>
      <c r="K66" s="10"/>
      <c r="L66" s="10"/>
      <c r="M66" s="51"/>
    </row>
    <row r="67" spans="1:13" x14ac:dyDescent="0.2">
      <c r="A67"/>
      <c r="B67"/>
      <c r="C67"/>
      <c r="D67"/>
      <c r="E67" s="7"/>
      <c r="F67"/>
      <c r="G67"/>
      <c r="H67" s="10"/>
      <c r="I67" s="10"/>
      <c r="J67" s="10"/>
      <c r="K67" s="10"/>
      <c r="L67" s="10"/>
      <c r="M67" s="51"/>
    </row>
    <row r="68" spans="1:13" x14ac:dyDescent="0.2">
      <c r="A68"/>
      <c r="B68"/>
      <c r="C68"/>
      <c r="D68"/>
      <c r="E68" s="7"/>
      <c r="F68"/>
      <c r="G68"/>
      <c r="H68" s="10"/>
      <c r="I68" s="10"/>
      <c r="J68" s="10"/>
      <c r="K68" s="10"/>
      <c r="L68" s="10"/>
      <c r="M68" s="51"/>
    </row>
    <row r="69" spans="1:13" x14ac:dyDescent="0.2">
      <c r="A69"/>
      <c r="B69"/>
      <c r="C69"/>
      <c r="D69"/>
      <c r="E69" s="7"/>
      <c r="F69"/>
      <c r="G69"/>
      <c r="H69" s="10"/>
      <c r="I69" s="10"/>
      <c r="J69" s="10"/>
      <c r="K69" s="10"/>
      <c r="L69" s="10"/>
      <c r="M69" s="51"/>
    </row>
    <row r="70" spans="1:13" x14ac:dyDescent="0.2">
      <c r="A70"/>
      <c r="B70"/>
      <c r="C70"/>
      <c r="D70"/>
      <c r="E70" s="7"/>
      <c r="F70"/>
      <c r="G70"/>
      <c r="H70" s="10"/>
      <c r="I70" s="10"/>
      <c r="J70" s="10"/>
      <c r="K70" s="10"/>
      <c r="L70" s="10"/>
      <c r="M70" s="51"/>
    </row>
    <row r="71" spans="1:13" x14ac:dyDescent="0.2">
      <c r="A71"/>
      <c r="B71"/>
      <c r="C71"/>
      <c r="D71"/>
      <c r="E71" s="7"/>
      <c r="F71"/>
      <c r="G71"/>
      <c r="H71" s="10"/>
      <c r="I71" s="10"/>
      <c r="J71" s="10"/>
      <c r="K71" s="10"/>
      <c r="L71" s="10"/>
      <c r="M71" s="51"/>
    </row>
    <row r="72" spans="1:13" x14ac:dyDescent="0.2">
      <c r="A72"/>
      <c r="B72"/>
      <c r="C72"/>
      <c r="D72"/>
      <c r="E72" s="7"/>
      <c r="F72"/>
      <c r="G72"/>
      <c r="H72" s="10"/>
      <c r="I72" s="10"/>
      <c r="J72" s="10"/>
      <c r="K72" s="10"/>
      <c r="L72" s="10"/>
      <c r="M72" s="51"/>
    </row>
    <row r="73" spans="1:13" x14ac:dyDescent="0.2">
      <c r="A73"/>
      <c r="B73"/>
      <c r="C73"/>
      <c r="D73"/>
      <c r="E73" s="7"/>
      <c r="F73"/>
      <c r="G73"/>
      <c r="H73" s="10"/>
      <c r="I73" s="10"/>
      <c r="J73" s="10"/>
      <c r="K73" s="10"/>
      <c r="L73" s="10"/>
      <c r="M73" s="51"/>
    </row>
    <row r="74" spans="1:13" x14ac:dyDescent="0.2">
      <c r="A74"/>
      <c r="B74"/>
      <c r="C74"/>
      <c r="D74"/>
      <c r="E74" s="7"/>
      <c r="F74"/>
      <c r="G74"/>
      <c r="H74" s="10"/>
      <c r="I74" s="10"/>
      <c r="J74" s="10"/>
      <c r="K74" s="10"/>
      <c r="L74" s="10"/>
      <c r="M74" s="51"/>
    </row>
    <row r="75" spans="1:13" x14ac:dyDescent="0.2">
      <c r="A75"/>
      <c r="B75"/>
      <c r="C75"/>
      <c r="D75"/>
      <c r="E75" s="7"/>
      <c r="F75"/>
      <c r="G75"/>
      <c r="H75" s="10"/>
      <c r="I75" s="10"/>
      <c r="J75" s="10"/>
      <c r="K75" s="10"/>
      <c r="L75" s="10"/>
      <c r="M75" s="51"/>
    </row>
    <row r="76" spans="1:13" x14ac:dyDescent="0.2">
      <c r="A76"/>
      <c r="B76"/>
      <c r="C76"/>
      <c r="D76"/>
      <c r="E76" s="7"/>
      <c r="F76"/>
      <c r="G76"/>
      <c r="H76" s="10"/>
      <c r="I76" s="10"/>
      <c r="J76" s="10"/>
      <c r="K76" s="10"/>
      <c r="L76" s="10"/>
      <c r="M76" s="51"/>
    </row>
    <row r="77" spans="1:13" x14ac:dyDescent="0.2">
      <c r="A77"/>
      <c r="B77"/>
      <c r="C77"/>
      <c r="D77"/>
      <c r="E77" s="7"/>
      <c r="F77"/>
      <c r="G77"/>
      <c r="H77" s="10"/>
      <c r="I77" s="10"/>
      <c r="J77" s="10"/>
      <c r="K77" s="10"/>
      <c r="L77" s="10"/>
      <c r="M77" s="51"/>
    </row>
    <row r="78" spans="1:13" x14ac:dyDescent="0.2">
      <c r="A78"/>
      <c r="B78"/>
      <c r="C78"/>
      <c r="D78"/>
      <c r="E78" s="7"/>
      <c r="F78"/>
      <c r="G78"/>
      <c r="H78" s="10"/>
      <c r="I78" s="10"/>
      <c r="J78" s="10"/>
      <c r="K78" s="10"/>
      <c r="L78" s="10"/>
      <c r="M78" s="51"/>
    </row>
    <row r="79" spans="1:13" x14ac:dyDescent="0.2">
      <c r="A79"/>
      <c r="B79"/>
      <c r="C79"/>
      <c r="D79"/>
      <c r="E79" s="7"/>
      <c r="F79"/>
      <c r="G79"/>
      <c r="H79" s="10"/>
      <c r="I79" s="10"/>
      <c r="J79" s="10"/>
      <c r="K79" s="10"/>
      <c r="L79" s="10"/>
      <c r="M79" s="51"/>
    </row>
    <row r="80" spans="1:13" x14ac:dyDescent="0.2">
      <c r="A80"/>
      <c r="B80"/>
      <c r="C80"/>
      <c r="D80"/>
      <c r="E80" s="7"/>
      <c r="F80"/>
      <c r="G80"/>
      <c r="H80" s="10"/>
      <c r="I80" s="10"/>
      <c r="J80" s="10"/>
      <c r="K80" s="10"/>
      <c r="L80" s="10"/>
      <c r="M80" s="51"/>
    </row>
    <row r="81" spans="1:13" x14ac:dyDescent="0.2">
      <c r="A81"/>
      <c r="B81"/>
      <c r="C81"/>
      <c r="D81"/>
      <c r="E81" s="7"/>
      <c r="F81"/>
      <c r="G81"/>
      <c r="H81" s="10"/>
      <c r="I81" s="10"/>
      <c r="J81" s="10"/>
      <c r="K81" s="10"/>
      <c r="L81" s="10"/>
      <c r="M81" s="51"/>
    </row>
    <row r="82" spans="1:13" ht="42.75" customHeight="1" x14ac:dyDescent="0.2">
      <c r="A82"/>
      <c r="B82"/>
      <c r="C82"/>
      <c r="D82"/>
      <c r="E82" s="7"/>
      <c r="F82"/>
      <c r="G82"/>
      <c r="H82" s="10"/>
      <c r="I82" s="10"/>
      <c r="J82" s="10"/>
      <c r="K82" s="10"/>
      <c r="L82" s="10"/>
      <c r="M82" s="51"/>
    </row>
    <row r="83" spans="1:13" x14ac:dyDescent="0.2">
      <c r="A83"/>
      <c r="B83"/>
      <c r="C83"/>
      <c r="D83"/>
      <c r="E83" s="7"/>
      <c r="F83"/>
      <c r="G83"/>
      <c r="H83" s="10"/>
      <c r="I83" s="10"/>
      <c r="J83" s="10"/>
      <c r="K83" s="10"/>
      <c r="L83" s="10"/>
      <c r="M83" s="51"/>
    </row>
    <row r="84" spans="1:13" ht="12.75" customHeight="1" x14ac:dyDescent="0.2">
      <c r="A84"/>
      <c r="B84"/>
      <c r="C84"/>
      <c r="D84"/>
      <c r="E84" s="7"/>
      <c r="F84"/>
      <c r="G84"/>
      <c r="H84" s="10"/>
      <c r="I84" s="10"/>
      <c r="J84" s="10"/>
      <c r="K84" s="10"/>
      <c r="L84" s="10"/>
      <c r="M84" s="51"/>
    </row>
    <row r="85" spans="1:13" ht="12.75" customHeight="1" x14ac:dyDescent="0.2">
      <c r="A85"/>
      <c r="B85"/>
      <c r="C85"/>
      <c r="D85"/>
      <c r="E85" s="7"/>
      <c r="F85"/>
      <c r="G85"/>
      <c r="H85" s="10"/>
      <c r="I85" s="10"/>
      <c r="J85" s="10"/>
      <c r="K85" s="10"/>
      <c r="L85" s="10"/>
      <c r="M85" s="51"/>
    </row>
    <row r="86" spans="1:13" x14ac:dyDescent="0.2">
      <c r="A86"/>
      <c r="B86"/>
      <c r="C86"/>
      <c r="D86"/>
      <c r="E86" s="7"/>
      <c r="F86"/>
      <c r="G86"/>
      <c r="H86" s="10"/>
      <c r="I86" s="10"/>
      <c r="J86" s="10"/>
      <c r="K86" s="10"/>
      <c r="L86" s="10"/>
      <c r="M86" s="51"/>
    </row>
    <row r="87" spans="1:13" x14ac:dyDescent="0.2">
      <c r="A87"/>
      <c r="B87"/>
      <c r="C87"/>
      <c r="D87"/>
      <c r="E87" s="7"/>
      <c r="F87"/>
      <c r="G87"/>
      <c r="H87" s="10"/>
      <c r="I87" s="10"/>
      <c r="J87" s="10"/>
      <c r="K87" s="10"/>
      <c r="L87" s="10"/>
      <c r="M87" s="51"/>
    </row>
    <row r="88" spans="1:13" x14ac:dyDescent="0.2">
      <c r="A88"/>
      <c r="B88"/>
      <c r="C88"/>
      <c r="D88"/>
      <c r="E88" s="7"/>
      <c r="F88"/>
      <c r="G88"/>
      <c r="H88" s="10"/>
      <c r="I88" s="10"/>
      <c r="J88" s="10"/>
      <c r="K88" s="10"/>
      <c r="L88" s="10"/>
      <c r="M88" s="51"/>
    </row>
    <row r="89" spans="1:13" x14ac:dyDescent="0.2">
      <c r="A89"/>
      <c r="B89"/>
      <c r="C89"/>
      <c r="D89"/>
      <c r="E89" s="7"/>
      <c r="F89"/>
      <c r="G89"/>
      <c r="H89" s="10"/>
      <c r="I89" s="10"/>
      <c r="J89" s="10"/>
      <c r="K89" s="10"/>
      <c r="L89" s="10"/>
      <c r="M89" s="51"/>
    </row>
    <row r="90" spans="1:13" x14ac:dyDescent="0.2">
      <c r="A90"/>
      <c r="B90"/>
      <c r="C90"/>
      <c r="D90"/>
      <c r="E90" s="7"/>
      <c r="F90"/>
      <c r="G90"/>
      <c r="H90" s="10"/>
      <c r="I90" s="10"/>
      <c r="J90" s="10"/>
      <c r="K90" s="10"/>
      <c r="L90" s="10"/>
      <c r="M90" s="51"/>
    </row>
    <row r="91" spans="1:13" x14ac:dyDescent="0.2">
      <c r="A91"/>
      <c r="B91"/>
      <c r="C91"/>
      <c r="D91"/>
      <c r="E91" s="7"/>
      <c r="F91"/>
      <c r="G91"/>
      <c r="H91" s="10"/>
      <c r="I91" s="10"/>
      <c r="J91" s="10"/>
      <c r="K91" s="10"/>
      <c r="L91" s="10"/>
      <c r="M91" s="51"/>
    </row>
    <row r="92" spans="1:13" x14ac:dyDescent="0.2">
      <c r="A92"/>
      <c r="B92"/>
      <c r="C92"/>
      <c r="D92"/>
      <c r="E92" s="7"/>
      <c r="F92"/>
      <c r="G92"/>
      <c r="H92" s="10"/>
      <c r="I92" s="10"/>
      <c r="J92" s="10"/>
      <c r="K92" s="10"/>
      <c r="L92" s="10"/>
      <c r="M92" s="51"/>
    </row>
    <row r="93" spans="1:13" x14ac:dyDescent="0.2">
      <c r="A93"/>
      <c r="B93"/>
      <c r="C93"/>
      <c r="D93"/>
      <c r="E93" s="7"/>
      <c r="F93"/>
      <c r="G93"/>
      <c r="H93" s="10"/>
      <c r="I93" s="10"/>
      <c r="J93" s="10"/>
      <c r="K93" s="10"/>
      <c r="L93" s="10"/>
      <c r="M93" s="51"/>
    </row>
    <row r="94" spans="1:13" x14ac:dyDescent="0.2">
      <c r="A94"/>
      <c r="B94"/>
      <c r="C94"/>
      <c r="D94"/>
      <c r="E94" s="7"/>
      <c r="F94"/>
      <c r="G94"/>
      <c r="H94" s="10"/>
      <c r="I94" s="10"/>
      <c r="J94" s="10"/>
      <c r="K94" s="10"/>
      <c r="L94" s="10"/>
      <c r="M94" s="51"/>
    </row>
    <row r="95" spans="1:13" x14ac:dyDescent="0.2">
      <c r="A95"/>
      <c r="B95"/>
      <c r="C95"/>
      <c r="D95"/>
      <c r="E95" s="7"/>
      <c r="F95"/>
      <c r="G95"/>
      <c r="H95" s="10"/>
      <c r="I95" s="10"/>
      <c r="J95" s="10"/>
      <c r="K95" s="10"/>
      <c r="L95" s="10"/>
      <c r="M95" s="51"/>
    </row>
    <row r="96" spans="1:13" x14ac:dyDescent="0.2">
      <c r="A96"/>
      <c r="B96"/>
      <c r="C96"/>
      <c r="D96"/>
      <c r="E96" s="7"/>
      <c r="F96"/>
      <c r="G96"/>
      <c r="H96" s="10"/>
      <c r="I96" s="10"/>
      <c r="J96" s="10"/>
      <c r="K96" s="10"/>
      <c r="L96" s="10"/>
      <c r="M96" s="51"/>
    </row>
    <row r="97" spans="1:13" x14ac:dyDescent="0.2">
      <c r="A97"/>
      <c r="B97"/>
      <c r="C97"/>
      <c r="D97"/>
      <c r="E97" s="7"/>
      <c r="F97"/>
      <c r="G97"/>
      <c r="H97" s="10"/>
      <c r="I97" s="10"/>
      <c r="J97" s="10"/>
      <c r="K97" s="10"/>
      <c r="L97" s="10"/>
      <c r="M97" s="51"/>
    </row>
    <row r="98" spans="1:13" x14ac:dyDescent="0.2">
      <c r="A98"/>
      <c r="B98"/>
      <c r="C98"/>
      <c r="D98"/>
      <c r="E98" s="7"/>
      <c r="F98"/>
      <c r="G98"/>
      <c r="H98" s="10"/>
      <c r="I98" s="10"/>
      <c r="J98" s="10"/>
      <c r="K98" s="10"/>
      <c r="L98" s="10"/>
      <c r="M98" s="51"/>
    </row>
    <row r="99" spans="1:13" x14ac:dyDescent="0.2">
      <c r="A99"/>
      <c r="B99"/>
      <c r="C99"/>
      <c r="D99"/>
      <c r="E99" s="7"/>
      <c r="F99"/>
      <c r="G99"/>
      <c r="H99" s="10"/>
      <c r="I99" s="10"/>
      <c r="J99" s="10"/>
      <c r="K99" s="10"/>
      <c r="L99" s="10"/>
      <c r="M99" s="51"/>
    </row>
    <row r="100" spans="1:13" x14ac:dyDescent="0.2">
      <c r="A100"/>
      <c r="B100"/>
      <c r="C100"/>
      <c r="D100"/>
      <c r="E100" s="7"/>
      <c r="F100"/>
      <c r="G100"/>
      <c r="H100" s="10"/>
      <c r="I100" s="10"/>
      <c r="J100" s="10"/>
      <c r="K100" s="10"/>
      <c r="L100" s="10"/>
      <c r="M100" s="51"/>
    </row>
    <row r="101" spans="1:13" x14ac:dyDescent="0.2">
      <c r="A101"/>
      <c r="B101"/>
      <c r="C101"/>
      <c r="D101"/>
      <c r="E101" s="7"/>
      <c r="F101"/>
      <c r="G101"/>
      <c r="H101" s="10"/>
      <c r="I101" s="10"/>
      <c r="J101" s="10"/>
      <c r="K101" s="10"/>
      <c r="L101" s="10"/>
      <c r="M101" s="51"/>
    </row>
    <row r="102" spans="1:13" x14ac:dyDescent="0.2">
      <c r="A102"/>
      <c r="B102"/>
      <c r="C102"/>
      <c r="D102"/>
      <c r="E102" s="7"/>
      <c r="F102"/>
      <c r="G102"/>
      <c r="H102" s="10"/>
      <c r="I102" s="10"/>
      <c r="J102" s="10"/>
      <c r="K102" s="10"/>
      <c r="L102" s="10"/>
      <c r="M102" s="51"/>
    </row>
    <row r="103" spans="1:13" x14ac:dyDescent="0.2">
      <c r="A103"/>
      <c r="B103"/>
      <c r="C103"/>
      <c r="D103"/>
      <c r="E103" s="7"/>
      <c r="F103"/>
      <c r="G103"/>
      <c r="H103" s="10"/>
      <c r="I103" s="10"/>
      <c r="J103" s="10"/>
      <c r="K103" s="10"/>
      <c r="L103" s="10"/>
      <c r="M103" s="51"/>
    </row>
    <row r="104" spans="1:13" x14ac:dyDescent="0.2">
      <c r="A104"/>
      <c r="B104"/>
      <c r="C104"/>
      <c r="D104"/>
      <c r="E104" s="7"/>
      <c r="F104"/>
      <c r="G104"/>
      <c r="H104" s="10"/>
      <c r="I104" s="10"/>
      <c r="J104" s="10"/>
      <c r="K104" s="10"/>
      <c r="L104" s="10"/>
      <c r="M104" s="51"/>
    </row>
    <row r="105" spans="1:13" x14ac:dyDescent="0.2">
      <c r="A105"/>
      <c r="B105"/>
      <c r="C105"/>
      <c r="D105"/>
      <c r="E105" s="7"/>
      <c r="F105"/>
      <c r="G105"/>
      <c r="H105" s="10"/>
      <c r="I105" s="10"/>
      <c r="J105" s="10"/>
      <c r="K105" s="10"/>
      <c r="L105" s="10"/>
      <c r="M105" s="51"/>
    </row>
    <row r="106" spans="1:13" x14ac:dyDescent="0.2">
      <c r="A106"/>
      <c r="B106"/>
      <c r="C106"/>
      <c r="D106"/>
      <c r="E106" s="7"/>
      <c r="F106"/>
      <c r="G106"/>
      <c r="H106" s="10"/>
      <c r="I106" s="10"/>
      <c r="J106" s="10"/>
      <c r="K106" s="10"/>
      <c r="L106" s="10"/>
      <c r="M106" s="51"/>
    </row>
    <row r="107" spans="1:13" x14ac:dyDescent="0.2">
      <c r="A107"/>
      <c r="B107"/>
      <c r="C107"/>
      <c r="D107"/>
      <c r="E107" s="7"/>
      <c r="F107"/>
      <c r="G107"/>
      <c r="H107" s="10"/>
      <c r="I107" s="10"/>
      <c r="J107" s="10"/>
      <c r="K107" s="10"/>
      <c r="L107" s="10"/>
      <c r="M107" s="51"/>
    </row>
    <row r="108" spans="1:13" x14ac:dyDescent="0.2">
      <c r="A108"/>
      <c r="B108"/>
      <c r="C108"/>
      <c r="D108"/>
      <c r="E108" s="7"/>
      <c r="F108"/>
      <c r="G108"/>
      <c r="H108" s="10"/>
      <c r="I108" s="10"/>
      <c r="J108" s="10"/>
      <c r="K108" s="10"/>
      <c r="L108" s="10"/>
      <c r="M108" s="51"/>
    </row>
    <row r="109" spans="1:13" x14ac:dyDescent="0.2">
      <c r="A109"/>
      <c r="B109"/>
      <c r="C109"/>
      <c r="D109"/>
      <c r="E109" s="7"/>
      <c r="F109"/>
      <c r="G109"/>
      <c r="H109" s="10"/>
      <c r="I109" s="10"/>
      <c r="J109" s="10"/>
      <c r="K109" s="10"/>
      <c r="L109" s="10"/>
      <c r="M109" s="51"/>
    </row>
    <row r="110" spans="1:13" x14ac:dyDescent="0.2">
      <c r="A110"/>
      <c r="B110"/>
      <c r="C110"/>
      <c r="D110"/>
      <c r="E110" s="7"/>
      <c r="F110"/>
      <c r="G110"/>
      <c r="H110" s="10"/>
      <c r="I110" s="10"/>
      <c r="J110" s="10"/>
      <c r="K110" s="10"/>
      <c r="L110" s="10"/>
      <c r="M110" s="51"/>
    </row>
    <row r="111" spans="1:13" x14ac:dyDescent="0.2">
      <c r="A111"/>
      <c r="B111"/>
      <c r="C111"/>
      <c r="D111"/>
      <c r="E111" s="7"/>
      <c r="F111"/>
      <c r="G111"/>
      <c r="H111" s="10"/>
      <c r="I111" s="10"/>
      <c r="J111" s="10"/>
      <c r="K111" s="10"/>
      <c r="L111" s="10"/>
      <c r="M111" s="51"/>
    </row>
    <row r="112" spans="1:13" x14ac:dyDescent="0.2">
      <c r="A112"/>
      <c r="B112"/>
      <c r="C112"/>
      <c r="D112"/>
      <c r="E112" s="7"/>
      <c r="F112"/>
      <c r="G112"/>
      <c r="H112" s="10"/>
      <c r="I112" s="10"/>
      <c r="J112" s="10"/>
      <c r="K112" s="10"/>
      <c r="L112" s="10"/>
      <c r="M112" s="51"/>
    </row>
    <row r="113" spans="1:13" x14ac:dyDescent="0.2">
      <c r="A113"/>
      <c r="B113"/>
      <c r="C113"/>
      <c r="D113"/>
      <c r="E113" s="7"/>
      <c r="F113"/>
      <c r="G113"/>
      <c r="H113" s="10"/>
      <c r="I113" s="10"/>
      <c r="J113" s="10"/>
      <c r="K113" s="10"/>
      <c r="L113" s="10"/>
      <c r="M113" s="51"/>
    </row>
    <row r="114" spans="1:13" x14ac:dyDescent="0.2">
      <c r="A114"/>
      <c r="B114"/>
      <c r="C114"/>
      <c r="D114"/>
      <c r="E114" s="7"/>
      <c r="F114"/>
      <c r="G114"/>
      <c r="H114" s="10"/>
      <c r="I114" s="10"/>
      <c r="J114" s="10"/>
      <c r="K114" s="10"/>
      <c r="L114" s="10"/>
      <c r="M114" s="51"/>
    </row>
    <row r="115" spans="1:13" x14ac:dyDescent="0.2">
      <c r="A115"/>
      <c r="B115"/>
      <c r="C115"/>
      <c r="D115"/>
      <c r="E115" s="7"/>
      <c r="F115"/>
      <c r="G115"/>
      <c r="H115" s="10"/>
      <c r="I115" s="10"/>
      <c r="J115" s="10"/>
      <c r="K115" s="10"/>
      <c r="L115" s="10"/>
      <c r="M115" s="51"/>
    </row>
    <row r="116" spans="1:13" x14ac:dyDescent="0.2">
      <c r="A116"/>
      <c r="B116"/>
      <c r="C116"/>
      <c r="D116"/>
      <c r="E116" s="7"/>
      <c r="F116"/>
      <c r="G116"/>
      <c r="H116" s="10"/>
      <c r="I116" s="10"/>
      <c r="J116" s="10"/>
      <c r="K116" s="10"/>
      <c r="L116" s="10"/>
      <c r="M116" s="51"/>
    </row>
    <row r="117" spans="1:13" x14ac:dyDescent="0.2">
      <c r="A117"/>
      <c r="B117"/>
      <c r="C117"/>
      <c r="D117"/>
      <c r="E117" s="7"/>
      <c r="F117"/>
      <c r="G117"/>
      <c r="H117" s="10"/>
      <c r="I117" s="10"/>
      <c r="J117" s="10"/>
      <c r="K117" s="10"/>
      <c r="L117" s="10"/>
      <c r="M117" s="51"/>
    </row>
    <row r="118" spans="1:13" x14ac:dyDescent="0.2">
      <c r="A118"/>
      <c r="B118"/>
      <c r="C118"/>
      <c r="D118"/>
      <c r="E118" s="7"/>
      <c r="F118"/>
      <c r="G118"/>
      <c r="H118" s="10"/>
      <c r="I118" s="10"/>
      <c r="J118" s="10"/>
      <c r="K118" s="10"/>
      <c r="L118" s="10"/>
      <c r="M118" s="51"/>
    </row>
    <row r="119" spans="1:13" x14ac:dyDescent="0.2">
      <c r="A119"/>
      <c r="B119"/>
      <c r="C119"/>
      <c r="D119"/>
      <c r="E119" s="7"/>
      <c r="F119"/>
      <c r="G119"/>
      <c r="H119" s="10"/>
      <c r="I119" s="10"/>
      <c r="J119" s="10"/>
      <c r="K119" s="10"/>
      <c r="L119" s="10"/>
      <c r="M119" s="51"/>
    </row>
    <row r="120" spans="1:13" x14ac:dyDescent="0.2">
      <c r="A120"/>
      <c r="B120"/>
      <c r="C120"/>
      <c r="D120"/>
      <c r="E120" s="7"/>
      <c r="F120"/>
      <c r="G120"/>
      <c r="H120" s="10"/>
      <c r="I120" s="10"/>
      <c r="J120" s="10"/>
      <c r="K120" s="10"/>
      <c r="L120" s="10"/>
      <c r="M120" s="51"/>
    </row>
    <row r="121" spans="1:13" x14ac:dyDescent="0.2">
      <c r="A121"/>
      <c r="B121"/>
      <c r="C121"/>
      <c r="D121"/>
      <c r="E121" s="7"/>
      <c r="F121"/>
      <c r="G121"/>
      <c r="H121" s="10"/>
      <c r="I121" s="10"/>
      <c r="J121" s="10"/>
      <c r="K121" s="10"/>
      <c r="L121" s="10"/>
      <c r="M121" s="51"/>
    </row>
    <row r="122" spans="1:13" x14ac:dyDescent="0.2">
      <c r="A122"/>
      <c r="B122"/>
      <c r="C122"/>
      <c r="D122"/>
      <c r="E122" s="7"/>
      <c r="F122"/>
      <c r="G122"/>
      <c r="H122" s="10"/>
      <c r="I122" s="10"/>
      <c r="J122" s="10"/>
      <c r="K122" s="10"/>
      <c r="L122" s="10"/>
      <c r="M122" s="51"/>
    </row>
    <row r="123" spans="1:13" x14ac:dyDescent="0.2">
      <c r="A123"/>
      <c r="B123"/>
      <c r="C123"/>
      <c r="D123"/>
      <c r="E123" s="7"/>
      <c r="F123"/>
      <c r="G123"/>
      <c r="H123" s="10"/>
      <c r="I123" s="10"/>
      <c r="J123" s="10"/>
      <c r="K123" s="10"/>
      <c r="L123" s="10"/>
      <c r="M123" s="51"/>
    </row>
    <row r="124" spans="1:13" x14ac:dyDescent="0.2">
      <c r="A124"/>
      <c r="B124"/>
      <c r="C124"/>
      <c r="D124"/>
      <c r="E124" s="7"/>
      <c r="F124"/>
      <c r="G124"/>
      <c r="H124" s="10"/>
      <c r="I124" s="10"/>
      <c r="J124" s="10"/>
      <c r="K124" s="10"/>
      <c r="L124" s="10"/>
      <c r="M124" s="51"/>
    </row>
    <row r="125" spans="1:13" x14ac:dyDescent="0.2">
      <c r="A125"/>
      <c r="B125"/>
      <c r="C125"/>
      <c r="D125"/>
      <c r="E125" s="7"/>
      <c r="F125"/>
      <c r="G125"/>
      <c r="H125" s="10"/>
      <c r="I125" s="10"/>
      <c r="J125" s="10"/>
      <c r="K125" s="10"/>
      <c r="L125" s="10"/>
      <c r="M125" s="51"/>
    </row>
    <row r="126" spans="1:13" x14ac:dyDescent="0.2">
      <c r="A126"/>
      <c r="B126"/>
      <c r="C126"/>
      <c r="D126"/>
      <c r="E126" s="7"/>
      <c r="F126"/>
      <c r="G126"/>
      <c r="H126" s="10"/>
      <c r="I126" s="10"/>
      <c r="J126" s="10"/>
      <c r="K126" s="10"/>
      <c r="L126" s="10"/>
      <c r="M126" s="51"/>
    </row>
    <row r="127" spans="1:13" x14ac:dyDescent="0.2">
      <c r="A127"/>
      <c r="B127"/>
      <c r="C127"/>
      <c r="D127"/>
      <c r="E127" s="7"/>
      <c r="F127"/>
      <c r="G127"/>
      <c r="H127" s="10"/>
      <c r="I127" s="10"/>
      <c r="J127" s="10"/>
      <c r="K127" s="10"/>
      <c r="L127" s="10"/>
      <c r="M127" s="51"/>
    </row>
    <row r="128" spans="1:13" x14ac:dyDescent="0.2">
      <c r="A128"/>
      <c r="B128"/>
      <c r="C128"/>
      <c r="D128"/>
      <c r="E128" s="7"/>
      <c r="F128"/>
      <c r="G128"/>
      <c r="H128" s="10"/>
      <c r="I128" s="10"/>
      <c r="J128" s="10"/>
      <c r="K128" s="10"/>
      <c r="L128" s="10"/>
      <c r="M128" s="51"/>
    </row>
    <row r="129" spans="1:13" x14ac:dyDescent="0.2">
      <c r="A129"/>
      <c r="B129"/>
      <c r="C129"/>
      <c r="D129"/>
      <c r="E129" s="7"/>
      <c r="F129"/>
      <c r="G129"/>
      <c r="H129" s="10"/>
      <c r="I129" s="10"/>
      <c r="J129" s="10"/>
      <c r="K129" s="10"/>
      <c r="L129" s="10"/>
      <c r="M129" s="51"/>
    </row>
    <row r="130" spans="1:13" x14ac:dyDescent="0.2">
      <c r="A130"/>
      <c r="B130"/>
      <c r="C130"/>
      <c r="D130"/>
      <c r="E130" s="7"/>
      <c r="F130"/>
      <c r="G130"/>
      <c r="H130" s="10"/>
      <c r="I130" s="10"/>
      <c r="J130" s="10"/>
      <c r="K130" s="10"/>
      <c r="L130" s="10"/>
      <c r="M130" s="51"/>
    </row>
    <row r="131" spans="1:13" x14ac:dyDescent="0.2">
      <c r="A131"/>
      <c r="B131"/>
      <c r="C131"/>
      <c r="D131"/>
      <c r="E131" s="7"/>
      <c r="F131"/>
      <c r="G131"/>
      <c r="H131" s="10"/>
      <c r="I131" s="10"/>
      <c r="J131" s="10"/>
      <c r="K131" s="10"/>
      <c r="L131" s="10"/>
      <c r="M131" s="51"/>
    </row>
    <row r="132" spans="1:13" x14ac:dyDescent="0.2">
      <c r="A132"/>
      <c r="B132"/>
      <c r="C132"/>
      <c r="D132"/>
      <c r="E132" s="7"/>
      <c r="F132"/>
      <c r="G132"/>
      <c r="H132" s="10"/>
      <c r="I132" s="10"/>
      <c r="J132" s="10"/>
      <c r="K132" s="10"/>
      <c r="L132" s="10"/>
      <c r="M132" s="51"/>
    </row>
    <row r="133" spans="1:13" x14ac:dyDescent="0.2">
      <c r="A133"/>
      <c r="B133"/>
      <c r="C133"/>
      <c r="D133"/>
      <c r="E133" s="7"/>
      <c r="F133"/>
      <c r="G133"/>
      <c r="H133" s="10"/>
      <c r="I133" s="10"/>
      <c r="J133" s="10"/>
      <c r="K133" s="10"/>
      <c r="L133" s="10"/>
      <c r="M133" s="51"/>
    </row>
    <row r="134" spans="1:13" x14ac:dyDescent="0.2">
      <c r="A134"/>
      <c r="B134"/>
      <c r="C134"/>
      <c r="D134"/>
      <c r="E134" s="7"/>
      <c r="F134"/>
      <c r="G134"/>
      <c r="H134" s="10"/>
      <c r="I134" s="10"/>
      <c r="J134" s="10"/>
      <c r="K134" s="10"/>
      <c r="L134" s="10"/>
      <c r="M134" s="51"/>
    </row>
    <row r="135" spans="1:13" x14ac:dyDescent="0.2">
      <c r="A135"/>
      <c r="B135"/>
      <c r="C135"/>
      <c r="D135"/>
      <c r="E135" s="7"/>
      <c r="F135"/>
      <c r="G135"/>
      <c r="H135" s="10"/>
      <c r="I135" s="10"/>
      <c r="J135" s="10"/>
      <c r="K135" s="10"/>
      <c r="L135" s="10"/>
      <c r="M135" s="51"/>
    </row>
    <row r="136" spans="1:13" x14ac:dyDescent="0.2">
      <c r="A136"/>
      <c r="B136"/>
      <c r="C136"/>
      <c r="D136"/>
      <c r="E136" s="7"/>
      <c r="F136"/>
      <c r="G136"/>
      <c r="H136" s="10"/>
      <c r="I136" s="10"/>
      <c r="J136" s="10"/>
      <c r="K136" s="10"/>
      <c r="L136" s="10"/>
      <c r="M136" s="51"/>
    </row>
    <row r="137" spans="1:13" x14ac:dyDescent="0.2">
      <c r="A137"/>
      <c r="B137"/>
      <c r="C137"/>
      <c r="D137"/>
      <c r="E137" s="7"/>
      <c r="F137"/>
      <c r="G137"/>
      <c r="H137" s="10"/>
      <c r="I137" s="10"/>
      <c r="J137" s="10"/>
      <c r="K137" s="10"/>
      <c r="L137" s="10"/>
      <c r="M137" s="51"/>
    </row>
    <row r="138" spans="1:13" x14ac:dyDescent="0.2">
      <c r="A138"/>
      <c r="B138"/>
      <c r="C138"/>
      <c r="D138"/>
      <c r="E138" s="7"/>
      <c r="F138"/>
      <c r="G138"/>
      <c r="H138" s="10"/>
      <c r="I138" s="10"/>
      <c r="J138" s="10"/>
      <c r="K138" s="10"/>
      <c r="L138" s="10"/>
      <c r="M138" s="51"/>
    </row>
    <row r="139" spans="1:13" x14ac:dyDescent="0.2">
      <c r="A139"/>
      <c r="B139"/>
      <c r="C139"/>
      <c r="D139"/>
      <c r="E139" s="7"/>
      <c r="F139"/>
      <c r="G139"/>
      <c r="H139" s="10"/>
      <c r="I139" s="10"/>
      <c r="J139" s="10"/>
      <c r="K139" s="10"/>
      <c r="L139" s="10"/>
      <c r="M139" s="51"/>
    </row>
    <row r="140" spans="1:13" x14ac:dyDescent="0.2">
      <c r="A140"/>
      <c r="B140"/>
      <c r="C140"/>
      <c r="D140"/>
      <c r="E140" s="7"/>
      <c r="F140"/>
      <c r="G140"/>
      <c r="H140" s="10"/>
      <c r="I140" s="10"/>
      <c r="J140" s="10"/>
      <c r="K140" s="10"/>
      <c r="L140" s="10"/>
      <c r="M140" s="51"/>
    </row>
    <row r="141" spans="1:13" x14ac:dyDescent="0.2">
      <c r="A141"/>
      <c r="B141"/>
      <c r="C141"/>
      <c r="D141"/>
      <c r="E141" s="7"/>
      <c r="F141"/>
      <c r="G141"/>
      <c r="H141" s="10"/>
      <c r="I141" s="10"/>
      <c r="J141" s="10"/>
      <c r="K141" s="10"/>
      <c r="L141" s="10"/>
      <c r="M141" s="51"/>
    </row>
    <row r="142" spans="1:13" x14ac:dyDescent="0.2">
      <c r="A142"/>
      <c r="B142"/>
      <c r="C142"/>
      <c r="D142"/>
      <c r="E142" s="7"/>
      <c r="F142"/>
      <c r="G142"/>
      <c r="H142" s="10"/>
      <c r="I142" s="10"/>
      <c r="J142" s="10"/>
      <c r="K142" s="10"/>
      <c r="L142" s="10"/>
      <c r="M142" s="51"/>
    </row>
    <row r="143" spans="1:13" x14ac:dyDescent="0.2">
      <c r="A143"/>
      <c r="B143"/>
      <c r="C143"/>
      <c r="D143"/>
      <c r="E143" s="7"/>
      <c r="F143"/>
      <c r="G143"/>
      <c r="H143" s="10"/>
      <c r="I143" s="10"/>
      <c r="J143" s="10"/>
      <c r="K143" s="10"/>
      <c r="L143" s="10"/>
      <c r="M143" s="51"/>
    </row>
    <row r="144" spans="1:13" x14ac:dyDescent="0.2">
      <c r="A144"/>
      <c r="B144"/>
      <c r="C144"/>
      <c r="D144"/>
      <c r="E144" s="7"/>
      <c r="F144"/>
      <c r="G144"/>
      <c r="H144" s="10"/>
      <c r="I144" s="10"/>
      <c r="J144" s="10"/>
      <c r="K144" s="10"/>
      <c r="L144" s="10"/>
      <c r="M144" s="51"/>
    </row>
    <row r="145" spans="1:13" x14ac:dyDescent="0.2">
      <c r="A145"/>
      <c r="B145"/>
      <c r="C145"/>
      <c r="D145"/>
      <c r="E145" s="7"/>
      <c r="F145"/>
      <c r="G145"/>
      <c r="H145" s="10"/>
      <c r="I145" s="10"/>
      <c r="J145" s="10"/>
      <c r="K145" s="10"/>
      <c r="L145" s="10"/>
      <c r="M145" s="51"/>
    </row>
    <row r="146" spans="1:13" x14ac:dyDescent="0.2">
      <c r="A146"/>
      <c r="B146"/>
      <c r="C146"/>
      <c r="D146"/>
      <c r="E146" s="7"/>
      <c r="F146"/>
      <c r="G146"/>
      <c r="H146" s="10"/>
      <c r="I146" s="10"/>
      <c r="J146" s="10"/>
      <c r="K146" s="10"/>
      <c r="L146" s="10"/>
      <c r="M146" s="51"/>
    </row>
    <row r="147" spans="1:13" x14ac:dyDescent="0.2">
      <c r="A147"/>
      <c r="B147"/>
      <c r="C147"/>
      <c r="D147"/>
      <c r="E147" s="7"/>
      <c r="F147"/>
      <c r="G147"/>
      <c r="H147" s="10"/>
      <c r="I147" s="10"/>
      <c r="J147" s="10"/>
      <c r="K147" s="10"/>
      <c r="L147" s="10"/>
      <c r="M147" s="51"/>
    </row>
    <row r="148" spans="1:13" x14ac:dyDescent="0.2">
      <c r="A148"/>
      <c r="B148"/>
      <c r="C148"/>
      <c r="D148"/>
      <c r="E148" s="7"/>
      <c r="F148"/>
      <c r="G148"/>
      <c r="H148" s="10"/>
      <c r="I148" s="10"/>
      <c r="J148" s="10"/>
      <c r="K148" s="10"/>
      <c r="L148" s="10"/>
      <c r="M148" s="51"/>
    </row>
    <row r="149" spans="1:13" x14ac:dyDescent="0.2">
      <c r="A149"/>
      <c r="B149"/>
      <c r="C149"/>
      <c r="D149"/>
      <c r="E149" s="7"/>
      <c r="F149"/>
      <c r="G149"/>
      <c r="H149" s="10"/>
      <c r="I149" s="10"/>
      <c r="J149" s="10"/>
      <c r="K149" s="10"/>
      <c r="L149" s="10"/>
      <c r="M149" s="51"/>
    </row>
    <row r="150" spans="1:13" x14ac:dyDescent="0.2">
      <c r="A150"/>
      <c r="B150"/>
      <c r="C150"/>
      <c r="D150"/>
      <c r="E150" s="7"/>
      <c r="F150"/>
      <c r="G150"/>
      <c r="H150" s="10"/>
      <c r="I150" s="10"/>
      <c r="J150" s="10"/>
      <c r="K150" s="10"/>
      <c r="L150" s="10"/>
      <c r="M150" s="51"/>
    </row>
    <row r="151" spans="1:13" x14ac:dyDescent="0.2">
      <c r="A151"/>
      <c r="B151"/>
      <c r="C151"/>
      <c r="D151"/>
      <c r="E151" s="7"/>
      <c r="F151"/>
      <c r="G151"/>
      <c r="H151" s="10"/>
      <c r="I151" s="10"/>
      <c r="J151" s="10"/>
      <c r="K151" s="10"/>
      <c r="L151" s="10"/>
      <c r="M151" s="51"/>
    </row>
    <row r="152" spans="1:13" x14ac:dyDescent="0.2">
      <c r="A152"/>
      <c r="B152"/>
      <c r="C152"/>
      <c r="D152"/>
      <c r="E152" s="7"/>
      <c r="F152"/>
      <c r="G152"/>
      <c r="H152" s="10"/>
      <c r="I152" s="10"/>
      <c r="J152" s="10"/>
      <c r="K152" s="10"/>
      <c r="L152" s="10"/>
      <c r="M152" s="51"/>
    </row>
    <row r="153" spans="1:13" x14ac:dyDescent="0.2">
      <c r="A153"/>
      <c r="B153"/>
      <c r="C153"/>
      <c r="D153"/>
      <c r="E153" s="7"/>
      <c r="F153"/>
      <c r="G153"/>
      <c r="H153" s="10"/>
      <c r="I153" s="10"/>
      <c r="J153" s="10"/>
      <c r="K153" s="10"/>
      <c r="L153" s="10"/>
      <c r="M153" s="51"/>
    </row>
    <row r="154" spans="1:13" x14ac:dyDescent="0.2">
      <c r="A154"/>
      <c r="B154"/>
      <c r="C154"/>
      <c r="D154"/>
      <c r="E154" s="7"/>
      <c r="F154"/>
      <c r="G154"/>
      <c r="H154" s="10"/>
      <c r="I154" s="10"/>
      <c r="J154" s="10"/>
      <c r="K154" s="10"/>
      <c r="L154" s="10"/>
      <c r="M154" s="51"/>
    </row>
    <row r="155" spans="1:13" x14ac:dyDescent="0.2">
      <c r="A155"/>
      <c r="B155"/>
      <c r="C155"/>
      <c r="D155"/>
      <c r="E155" s="7"/>
      <c r="F155"/>
      <c r="G155"/>
      <c r="H155" s="10"/>
      <c r="I155" s="10"/>
      <c r="J155" s="10"/>
      <c r="K155" s="10"/>
      <c r="L155" s="10"/>
      <c r="M155" s="51"/>
    </row>
    <row r="156" spans="1:13" x14ac:dyDescent="0.2">
      <c r="A156"/>
      <c r="B156"/>
      <c r="C156"/>
      <c r="D156"/>
      <c r="E156" s="7"/>
      <c r="F156"/>
      <c r="G156"/>
      <c r="H156" s="10"/>
      <c r="I156" s="10"/>
      <c r="J156" s="10"/>
      <c r="K156" s="10"/>
      <c r="L156" s="10"/>
      <c r="M156" s="51"/>
    </row>
    <row r="157" spans="1:13" x14ac:dyDescent="0.2">
      <c r="A157"/>
      <c r="B157"/>
      <c r="C157"/>
      <c r="D157"/>
      <c r="E157" s="7"/>
      <c r="F157"/>
      <c r="G157"/>
      <c r="H157" s="10"/>
      <c r="I157" s="10"/>
      <c r="J157" s="10"/>
      <c r="K157" s="10"/>
      <c r="L157" s="10"/>
      <c r="M157" s="51"/>
    </row>
    <row r="158" spans="1:13" x14ac:dyDescent="0.2">
      <c r="A158"/>
      <c r="B158"/>
      <c r="C158"/>
      <c r="D158"/>
      <c r="E158" s="7"/>
      <c r="F158"/>
      <c r="G158"/>
      <c r="H158" s="10"/>
      <c r="I158" s="10"/>
      <c r="J158" s="10"/>
      <c r="K158" s="10"/>
      <c r="L158" s="10"/>
      <c r="M158" s="51"/>
    </row>
    <row r="159" spans="1:13" x14ac:dyDescent="0.2">
      <c r="A159"/>
      <c r="B159"/>
      <c r="C159"/>
      <c r="D159"/>
      <c r="E159" s="7"/>
      <c r="F159"/>
      <c r="G159"/>
      <c r="H159" s="10"/>
      <c r="I159" s="10"/>
      <c r="J159" s="10"/>
      <c r="K159" s="10"/>
      <c r="L159" s="10"/>
      <c r="M159" s="51"/>
    </row>
    <row r="160" spans="1:13" x14ac:dyDescent="0.2">
      <c r="A160"/>
      <c r="B160"/>
      <c r="C160"/>
      <c r="D160"/>
      <c r="E160" s="7"/>
      <c r="F160"/>
      <c r="G160"/>
      <c r="H160" s="10"/>
      <c r="I160" s="10"/>
      <c r="J160" s="10"/>
      <c r="K160" s="10"/>
      <c r="L160" s="10"/>
      <c r="M160" s="51"/>
    </row>
    <row r="161" spans="1:13" x14ac:dyDescent="0.2">
      <c r="A161"/>
      <c r="B161"/>
      <c r="C161"/>
      <c r="D161"/>
      <c r="E161" s="7"/>
      <c r="F161"/>
      <c r="G161"/>
      <c r="H161" s="10"/>
      <c r="I161" s="10"/>
      <c r="J161" s="10"/>
      <c r="K161" s="10"/>
      <c r="L161" s="10"/>
      <c r="M161" s="51"/>
    </row>
    <row r="162" spans="1:13" x14ac:dyDescent="0.2">
      <c r="A162"/>
      <c r="B162"/>
      <c r="C162"/>
      <c r="D162"/>
      <c r="E162" s="7"/>
      <c r="F162"/>
      <c r="G162"/>
      <c r="H162" s="10"/>
      <c r="I162" s="10"/>
      <c r="J162" s="10"/>
      <c r="K162" s="10"/>
      <c r="L162" s="10"/>
      <c r="M162" s="51"/>
    </row>
    <row r="163" spans="1:13" x14ac:dyDescent="0.2">
      <c r="A163"/>
      <c r="B163"/>
      <c r="C163"/>
      <c r="D163"/>
      <c r="E163" s="7"/>
      <c r="F163"/>
      <c r="G163"/>
      <c r="H163" s="10"/>
      <c r="I163" s="10"/>
      <c r="J163" s="10"/>
      <c r="K163" s="10"/>
      <c r="L163" s="10"/>
      <c r="M163" s="51"/>
    </row>
    <row r="164" spans="1:13" x14ac:dyDescent="0.2">
      <c r="A164"/>
      <c r="B164"/>
      <c r="C164"/>
      <c r="D164"/>
      <c r="E164" s="7"/>
      <c r="F164"/>
      <c r="G164"/>
      <c r="H164" s="10"/>
      <c r="I164" s="10"/>
      <c r="J164" s="10"/>
      <c r="K164" s="10"/>
      <c r="L164" s="10"/>
      <c r="M164" s="51"/>
    </row>
    <row r="165" spans="1:13" x14ac:dyDescent="0.2">
      <c r="A165"/>
      <c r="B165"/>
      <c r="C165"/>
      <c r="D165"/>
      <c r="E165" s="7"/>
      <c r="F165"/>
      <c r="G165"/>
      <c r="H165" s="10"/>
      <c r="I165" s="10"/>
      <c r="J165" s="10"/>
      <c r="K165" s="10"/>
      <c r="L165" s="10"/>
      <c r="M165" s="51"/>
    </row>
    <row r="166" spans="1:13" x14ac:dyDescent="0.2">
      <c r="A166"/>
      <c r="B166"/>
      <c r="C166"/>
      <c r="D166"/>
      <c r="E166" s="7"/>
      <c r="F166"/>
      <c r="G166"/>
      <c r="H166" s="10"/>
      <c r="I166" s="10"/>
      <c r="J166" s="10"/>
      <c r="K166" s="10"/>
      <c r="L166" s="10"/>
      <c r="M166" s="51"/>
    </row>
    <row r="167" spans="1:13" x14ac:dyDescent="0.2">
      <c r="A167"/>
      <c r="B167"/>
      <c r="C167"/>
      <c r="D167"/>
      <c r="E167" s="7"/>
      <c r="F167"/>
      <c r="G167"/>
      <c r="H167" s="10"/>
      <c r="I167" s="10"/>
      <c r="J167" s="10"/>
      <c r="K167" s="10"/>
      <c r="L167" s="10"/>
      <c r="M167" s="51"/>
    </row>
    <row r="168" spans="1:13" x14ac:dyDescent="0.2">
      <c r="A168"/>
      <c r="B168"/>
      <c r="C168"/>
      <c r="D168"/>
      <c r="E168" s="7"/>
      <c r="F168"/>
      <c r="G168"/>
      <c r="H168" s="10"/>
      <c r="I168" s="10"/>
      <c r="J168" s="10"/>
      <c r="K168" s="10"/>
      <c r="L168" s="10"/>
      <c r="M168" s="51"/>
    </row>
    <row r="169" spans="1:13" x14ac:dyDescent="0.2">
      <c r="A169"/>
      <c r="B169"/>
      <c r="C169"/>
      <c r="D169"/>
      <c r="E169" s="7"/>
      <c r="F169"/>
      <c r="G169"/>
      <c r="H169" s="10"/>
      <c r="I169" s="10"/>
      <c r="J169" s="10"/>
      <c r="K169" s="10"/>
      <c r="L169" s="10"/>
      <c r="M169" s="51"/>
    </row>
    <row r="170" spans="1:13" x14ac:dyDescent="0.2">
      <c r="A170"/>
      <c r="B170"/>
      <c r="C170"/>
      <c r="D170"/>
      <c r="E170" s="7"/>
      <c r="F170"/>
      <c r="G170"/>
      <c r="H170" s="10"/>
      <c r="I170" s="10"/>
      <c r="J170" s="10"/>
      <c r="K170" s="10"/>
      <c r="L170" s="10"/>
      <c r="M170" s="51"/>
    </row>
    <row r="171" spans="1:13" x14ac:dyDescent="0.2">
      <c r="A171"/>
      <c r="B171"/>
      <c r="C171"/>
      <c r="D171"/>
      <c r="E171" s="7"/>
      <c r="F171"/>
      <c r="G171"/>
      <c r="H171" s="10"/>
      <c r="I171" s="10"/>
      <c r="J171" s="10"/>
      <c r="K171" s="10"/>
      <c r="L171" s="10"/>
      <c r="M171" s="51"/>
    </row>
    <row r="172" spans="1:13" x14ac:dyDescent="0.2">
      <c r="A172"/>
      <c r="B172"/>
      <c r="C172"/>
      <c r="D172"/>
      <c r="E172" s="7"/>
      <c r="F172"/>
      <c r="G172"/>
      <c r="H172" s="10"/>
      <c r="I172" s="10"/>
      <c r="J172" s="10"/>
      <c r="K172" s="10"/>
      <c r="L172" s="10"/>
      <c r="M172" s="51"/>
    </row>
    <row r="173" spans="1:13" x14ac:dyDescent="0.2">
      <c r="A173"/>
      <c r="B173"/>
      <c r="C173"/>
      <c r="D173"/>
      <c r="E173" s="7"/>
      <c r="F173"/>
      <c r="G173"/>
      <c r="H173" s="10"/>
      <c r="I173" s="10"/>
      <c r="J173" s="10"/>
      <c r="K173" s="10"/>
      <c r="L173" s="10"/>
      <c r="M173" s="51"/>
    </row>
    <row r="174" spans="1:13" x14ac:dyDescent="0.2">
      <c r="A174"/>
      <c r="B174"/>
      <c r="C174"/>
      <c r="D174"/>
      <c r="E174" s="7"/>
      <c r="F174"/>
      <c r="G174"/>
      <c r="H174" s="10"/>
      <c r="I174" s="10"/>
      <c r="J174" s="10"/>
      <c r="K174" s="10"/>
      <c r="L174" s="10"/>
      <c r="M174" s="51"/>
    </row>
    <row r="175" spans="1:13" x14ac:dyDescent="0.2">
      <c r="A175"/>
      <c r="B175"/>
      <c r="C175"/>
      <c r="D175"/>
      <c r="E175" s="7"/>
      <c r="F175"/>
      <c r="G175"/>
      <c r="H175" s="10"/>
      <c r="I175" s="10"/>
      <c r="J175" s="10"/>
      <c r="K175" s="10"/>
      <c r="L175" s="10"/>
      <c r="M175" s="51"/>
    </row>
    <row r="176" spans="1:13" x14ac:dyDescent="0.2">
      <c r="A176"/>
      <c r="B176"/>
      <c r="C176"/>
      <c r="D176"/>
      <c r="E176" s="7"/>
      <c r="F176"/>
      <c r="G176"/>
      <c r="H176" s="10"/>
      <c r="I176" s="10"/>
      <c r="J176" s="10"/>
      <c r="K176" s="10"/>
      <c r="L176" s="10"/>
      <c r="M176" s="51"/>
    </row>
    <row r="177" spans="1:13" x14ac:dyDescent="0.2">
      <c r="A177"/>
      <c r="B177"/>
      <c r="C177"/>
      <c r="D177"/>
      <c r="E177" s="7"/>
      <c r="F177"/>
      <c r="G177"/>
      <c r="H177" s="10"/>
      <c r="I177" s="10"/>
      <c r="J177" s="10"/>
      <c r="K177" s="10"/>
      <c r="L177" s="10"/>
      <c r="M177" s="51"/>
    </row>
    <row r="178" spans="1:13" x14ac:dyDescent="0.2">
      <c r="A178"/>
      <c r="B178"/>
      <c r="C178"/>
      <c r="D178"/>
      <c r="E178" s="7"/>
      <c r="F178"/>
      <c r="G178"/>
      <c r="H178" s="10"/>
      <c r="I178" s="10"/>
      <c r="J178" s="10"/>
      <c r="K178" s="10"/>
      <c r="L178" s="10"/>
      <c r="M178" s="51"/>
    </row>
    <row r="179" spans="1:13" x14ac:dyDescent="0.2">
      <c r="A179"/>
      <c r="B179"/>
      <c r="C179"/>
      <c r="D179"/>
      <c r="E179" s="7"/>
      <c r="F179"/>
      <c r="G179"/>
      <c r="H179" s="10"/>
      <c r="I179" s="10"/>
      <c r="J179" s="10"/>
      <c r="K179" s="10"/>
      <c r="L179" s="10"/>
      <c r="M179" s="51"/>
    </row>
    <row r="180" spans="1:13" x14ac:dyDescent="0.2">
      <c r="A180"/>
      <c r="B180"/>
      <c r="C180"/>
      <c r="D180"/>
      <c r="E180" s="7"/>
      <c r="F180"/>
      <c r="G180"/>
      <c r="H180" s="10"/>
      <c r="I180" s="10"/>
      <c r="J180" s="10"/>
      <c r="K180" s="10"/>
      <c r="L180" s="10"/>
      <c r="M180" s="51"/>
    </row>
    <row r="181" spans="1:13" x14ac:dyDescent="0.2">
      <c r="A181"/>
      <c r="B181"/>
      <c r="C181"/>
      <c r="D181"/>
      <c r="E181" s="7"/>
      <c r="F181"/>
      <c r="G181"/>
      <c r="H181" s="10"/>
      <c r="I181" s="10"/>
      <c r="J181" s="10"/>
      <c r="K181" s="10"/>
      <c r="L181" s="10"/>
      <c r="M181" s="51"/>
    </row>
    <row r="182" spans="1:13" x14ac:dyDescent="0.2">
      <c r="A182"/>
      <c r="B182"/>
      <c r="C182"/>
      <c r="D182"/>
      <c r="E182" s="7"/>
      <c r="F182"/>
      <c r="G182"/>
      <c r="H182" s="10"/>
      <c r="I182" s="10"/>
      <c r="J182" s="10"/>
      <c r="K182" s="10"/>
      <c r="L182" s="10"/>
      <c r="M182" s="51"/>
    </row>
    <row r="183" spans="1:13" x14ac:dyDescent="0.2">
      <c r="A183"/>
      <c r="B183"/>
      <c r="C183"/>
      <c r="D183"/>
      <c r="E183" s="7"/>
      <c r="F183"/>
      <c r="G183"/>
      <c r="H183" s="10"/>
      <c r="I183" s="10"/>
      <c r="J183" s="10"/>
      <c r="K183" s="10"/>
      <c r="L183" s="10"/>
      <c r="M183" s="51"/>
    </row>
    <row r="184" spans="1:13" x14ac:dyDescent="0.2">
      <c r="A184"/>
      <c r="B184"/>
      <c r="C184"/>
      <c r="D184"/>
      <c r="E184" s="7"/>
      <c r="F184"/>
      <c r="G184"/>
      <c r="H184" s="10"/>
      <c r="I184" s="10"/>
      <c r="J184" s="10"/>
      <c r="K184" s="10"/>
      <c r="L184" s="10"/>
      <c r="M184" s="51"/>
    </row>
    <row r="185" spans="1:13" x14ac:dyDescent="0.2">
      <c r="A185"/>
      <c r="B185"/>
      <c r="C185"/>
      <c r="D185"/>
      <c r="E185" s="7"/>
      <c r="F185"/>
      <c r="G185"/>
      <c r="H185" s="10"/>
      <c r="I185" s="10"/>
      <c r="J185" s="10"/>
      <c r="K185" s="10"/>
      <c r="L185" s="10"/>
      <c r="M185" s="51"/>
    </row>
    <row r="186" spans="1:13" x14ac:dyDescent="0.2">
      <c r="A186"/>
      <c r="B186"/>
      <c r="C186"/>
      <c r="D186"/>
      <c r="E186" s="7"/>
      <c r="F186"/>
      <c r="G186"/>
      <c r="H186" s="10"/>
      <c r="I186" s="10"/>
      <c r="J186" s="10"/>
      <c r="K186" s="10"/>
      <c r="L186" s="10"/>
      <c r="M186" s="51"/>
    </row>
    <row r="187" spans="1:13" x14ac:dyDescent="0.2">
      <c r="A187"/>
      <c r="B187"/>
      <c r="C187"/>
      <c r="D187"/>
      <c r="E187" s="7"/>
      <c r="F187"/>
      <c r="G187"/>
      <c r="H187" s="10"/>
      <c r="I187" s="10"/>
      <c r="J187" s="10"/>
      <c r="K187" s="10"/>
      <c r="L187" s="10"/>
      <c r="M187" s="51"/>
    </row>
    <row r="188" spans="1:13" x14ac:dyDescent="0.2">
      <c r="A188"/>
      <c r="B188"/>
      <c r="C188"/>
      <c r="D188"/>
      <c r="E188" s="7"/>
      <c r="F188"/>
      <c r="G188"/>
      <c r="H188" s="10"/>
      <c r="I188" s="10"/>
      <c r="J188" s="10"/>
      <c r="K188" s="10"/>
      <c r="L188" s="10"/>
      <c r="M188" s="51"/>
    </row>
    <row r="189" spans="1:13" x14ac:dyDescent="0.2">
      <c r="A189"/>
      <c r="B189"/>
      <c r="C189"/>
      <c r="D189"/>
      <c r="E189" s="7"/>
      <c r="F189"/>
      <c r="G189"/>
      <c r="H189" s="10"/>
      <c r="I189" s="10"/>
      <c r="J189" s="10"/>
      <c r="K189" s="10"/>
      <c r="L189" s="10"/>
      <c r="M189" s="51"/>
    </row>
    <row r="190" spans="1:13" x14ac:dyDescent="0.2">
      <c r="A190"/>
      <c r="B190"/>
      <c r="C190"/>
      <c r="D190"/>
      <c r="E190" s="7"/>
      <c r="F190"/>
      <c r="G190"/>
      <c r="H190" s="10"/>
      <c r="I190" s="10"/>
      <c r="J190" s="10"/>
      <c r="K190" s="10"/>
      <c r="L190" s="10"/>
      <c r="M190" s="51"/>
    </row>
    <row r="191" spans="1:13" x14ac:dyDescent="0.2">
      <c r="A191"/>
      <c r="B191"/>
      <c r="C191"/>
      <c r="D191"/>
      <c r="E191" s="7"/>
      <c r="F191"/>
      <c r="G191"/>
      <c r="H191" s="10"/>
      <c r="I191" s="10"/>
      <c r="J191" s="10"/>
      <c r="K191" s="10"/>
      <c r="L191" s="10"/>
      <c r="M191" s="51"/>
    </row>
    <row r="192" spans="1:13" x14ac:dyDescent="0.2">
      <c r="A192"/>
      <c r="B192"/>
      <c r="C192"/>
      <c r="D192"/>
      <c r="E192" s="7"/>
      <c r="F192"/>
      <c r="G192"/>
      <c r="H192" s="10"/>
      <c r="I192" s="10"/>
      <c r="J192" s="10"/>
      <c r="K192" s="10"/>
      <c r="L192" s="10"/>
      <c r="M192" s="51"/>
    </row>
    <row r="193" spans="1:13" x14ac:dyDescent="0.2">
      <c r="A193"/>
      <c r="B193"/>
      <c r="C193"/>
      <c r="D193"/>
      <c r="E193" s="7"/>
      <c r="F193"/>
      <c r="G193"/>
      <c r="H193" s="10"/>
      <c r="I193" s="10"/>
      <c r="J193" s="10"/>
      <c r="K193" s="10"/>
      <c r="L193" s="10"/>
      <c r="M193" s="51"/>
    </row>
    <row r="194" spans="1:13" x14ac:dyDescent="0.2">
      <c r="A194"/>
      <c r="B194"/>
      <c r="C194"/>
      <c r="D194"/>
      <c r="E194" s="7"/>
      <c r="F194"/>
      <c r="G194"/>
      <c r="H194" s="10"/>
      <c r="I194" s="10"/>
      <c r="J194" s="10"/>
      <c r="K194" s="10"/>
      <c r="L194" s="10"/>
      <c r="M194" s="51"/>
    </row>
    <row r="195" spans="1:13" x14ac:dyDescent="0.2">
      <c r="A195"/>
      <c r="B195"/>
      <c r="C195"/>
      <c r="D195"/>
      <c r="E195" s="7"/>
      <c r="F195"/>
      <c r="G195"/>
      <c r="H195" s="10"/>
      <c r="I195" s="10"/>
      <c r="J195" s="10"/>
      <c r="K195" s="10"/>
      <c r="L195" s="10"/>
      <c r="M195" s="51"/>
    </row>
    <row r="196" spans="1:13" x14ac:dyDescent="0.2">
      <c r="A196"/>
      <c r="B196"/>
      <c r="C196"/>
      <c r="D196"/>
      <c r="E196" s="7"/>
      <c r="F196"/>
      <c r="G196"/>
      <c r="H196" s="10"/>
      <c r="I196" s="10"/>
      <c r="J196" s="10"/>
      <c r="K196" s="10"/>
      <c r="L196" s="10"/>
      <c r="M196" s="51"/>
    </row>
    <row r="197" spans="1:13" x14ac:dyDescent="0.2">
      <c r="A197"/>
      <c r="B197"/>
      <c r="C197"/>
      <c r="D197"/>
      <c r="E197" s="7"/>
      <c r="F197"/>
      <c r="G197"/>
      <c r="H197" s="10"/>
      <c r="I197" s="10"/>
      <c r="J197" s="10"/>
      <c r="K197" s="10"/>
      <c r="L197" s="10"/>
      <c r="M197" s="51"/>
    </row>
    <row r="198" spans="1:13" x14ac:dyDescent="0.2">
      <c r="A198"/>
      <c r="B198"/>
      <c r="C198"/>
      <c r="D198"/>
      <c r="E198" s="7"/>
      <c r="F198"/>
      <c r="G198"/>
      <c r="H198" s="10"/>
      <c r="I198" s="10"/>
      <c r="J198" s="10"/>
      <c r="K198" s="10"/>
      <c r="L198" s="10"/>
      <c r="M198" s="51"/>
    </row>
    <row r="199" spans="1:13" x14ac:dyDescent="0.2">
      <c r="A199"/>
      <c r="B199"/>
      <c r="C199"/>
      <c r="D199"/>
      <c r="E199" s="7"/>
      <c r="F199"/>
      <c r="G199"/>
      <c r="H199" s="10"/>
      <c r="I199" s="10"/>
      <c r="J199" s="10"/>
      <c r="K199" s="10"/>
      <c r="L199" s="10"/>
      <c r="M199" s="51"/>
    </row>
    <row r="200" spans="1:13" x14ac:dyDescent="0.2">
      <c r="A200"/>
      <c r="B200"/>
      <c r="C200"/>
      <c r="D200"/>
      <c r="E200" s="7"/>
      <c r="F200"/>
      <c r="G200"/>
      <c r="H200" s="10"/>
      <c r="I200" s="10"/>
      <c r="J200" s="10"/>
      <c r="K200" s="10"/>
      <c r="L200" s="10"/>
      <c r="M200" s="51"/>
    </row>
    <row r="201" spans="1:13" x14ac:dyDescent="0.2">
      <c r="A201"/>
      <c r="B201"/>
      <c r="C201"/>
      <c r="D201"/>
      <c r="E201" s="7"/>
      <c r="F201"/>
      <c r="G201"/>
      <c r="H201" s="10"/>
      <c r="I201" s="10"/>
      <c r="J201" s="10"/>
      <c r="K201" s="10"/>
      <c r="L201" s="10"/>
      <c r="M201" s="51"/>
    </row>
    <row r="202" spans="1:13" x14ac:dyDescent="0.2">
      <c r="A202"/>
      <c r="B202"/>
      <c r="C202"/>
      <c r="D202"/>
      <c r="E202" s="7"/>
      <c r="F202"/>
      <c r="G202"/>
      <c r="H202" s="10"/>
      <c r="I202" s="10"/>
      <c r="J202" s="10"/>
      <c r="K202" s="10"/>
      <c r="L202" s="10"/>
      <c r="M202" s="51"/>
    </row>
    <row r="203" spans="1:13" x14ac:dyDescent="0.2">
      <c r="A203"/>
      <c r="B203"/>
      <c r="C203"/>
      <c r="D203"/>
      <c r="E203" s="7"/>
      <c r="F203"/>
      <c r="G203"/>
      <c r="H203" s="10"/>
      <c r="I203" s="10"/>
      <c r="J203" s="10"/>
      <c r="K203" s="10"/>
      <c r="L203" s="10"/>
      <c r="M203" s="51"/>
    </row>
    <row r="204" spans="1:13" x14ac:dyDescent="0.2">
      <c r="A204"/>
      <c r="B204"/>
      <c r="C204"/>
      <c r="D204"/>
      <c r="E204" s="7"/>
      <c r="F204"/>
      <c r="G204"/>
      <c r="H204" s="10"/>
      <c r="I204" s="10"/>
      <c r="J204" s="10"/>
      <c r="K204" s="10"/>
      <c r="L204" s="10"/>
      <c r="M204" s="51"/>
    </row>
    <row r="205" spans="1:13" x14ac:dyDescent="0.2">
      <c r="A205"/>
      <c r="B205"/>
      <c r="C205"/>
      <c r="D205"/>
      <c r="E205" s="7"/>
      <c r="F205"/>
      <c r="G205"/>
      <c r="H205" s="10"/>
      <c r="I205" s="10"/>
      <c r="J205" s="10"/>
      <c r="K205" s="10"/>
      <c r="L205" s="10"/>
      <c r="M205" s="51"/>
    </row>
    <row r="206" spans="1:13" x14ac:dyDescent="0.2">
      <c r="A206"/>
      <c r="B206"/>
      <c r="C206"/>
      <c r="D206"/>
      <c r="E206" s="7"/>
      <c r="F206"/>
      <c r="G206"/>
      <c r="H206" s="10"/>
      <c r="I206" s="10"/>
      <c r="J206" s="10"/>
      <c r="K206" s="10"/>
      <c r="L206" s="10"/>
      <c r="M206" s="51"/>
    </row>
    <row r="207" spans="1:13" x14ac:dyDescent="0.2">
      <c r="A207"/>
      <c r="B207"/>
      <c r="C207"/>
      <c r="D207"/>
      <c r="E207" s="7"/>
      <c r="F207"/>
      <c r="G207"/>
      <c r="H207" s="10"/>
      <c r="I207" s="10"/>
      <c r="J207" s="10"/>
      <c r="K207" s="10"/>
      <c r="L207" s="10"/>
      <c r="M207" s="51"/>
    </row>
    <row r="208" spans="1:13" x14ac:dyDescent="0.2">
      <c r="A208"/>
      <c r="B208"/>
      <c r="C208"/>
      <c r="D208"/>
      <c r="E208" s="7"/>
      <c r="F208"/>
      <c r="G208"/>
      <c r="H208" s="10"/>
      <c r="I208" s="10"/>
      <c r="J208" s="10"/>
      <c r="K208" s="10"/>
      <c r="L208" s="10"/>
      <c r="M208" s="51"/>
    </row>
    <row r="209" spans="1:13" x14ac:dyDescent="0.2">
      <c r="A209"/>
      <c r="B209"/>
      <c r="C209"/>
      <c r="D209"/>
      <c r="E209" s="7"/>
      <c r="F209"/>
      <c r="G209"/>
      <c r="H209" s="10"/>
      <c r="I209" s="10"/>
      <c r="J209" s="10"/>
      <c r="K209" s="10"/>
      <c r="L209" s="10"/>
      <c r="M209" s="51"/>
    </row>
    <row r="210" spans="1:13" x14ac:dyDescent="0.2">
      <c r="A210"/>
      <c r="B210"/>
      <c r="C210"/>
      <c r="D210"/>
      <c r="E210" s="7"/>
      <c r="F210"/>
      <c r="G210"/>
      <c r="H210" s="10"/>
      <c r="I210" s="10"/>
      <c r="J210" s="10"/>
      <c r="K210" s="10"/>
      <c r="L210" s="10"/>
      <c r="M210" s="51"/>
    </row>
    <row r="211" spans="1:13" x14ac:dyDescent="0.2">
      <c r="A211"/>
      <c r="B211"/>
      <c r="C211"/>
      <c r="D211"/>
      <c r="E211" s="7"/>
      <c r="F211"/>
      <c r="G211"/>
      <c r="H211" s="10"/>
      <c r="I211" s="10"/>
      <c r="J211" s="10"/>
      <c r="K211" s="10"/>
      <c r="L211" s="10"/>
      <c r="M211" s="51"/>
    </row>
    <row r="212" spans="1:13" x14ac:dyDescent="0.2">
      <c r="A212"/>
      <c r="B212"/>
      <c r="C212"/>
      <c r="D212"/>
      <c r="E212" s="7"/>
      <c r="F212"/>
      <c r="G212"/>
      <c r="H212" s="10"/>
      <c r="I212" s="10"/>
      <c r="J212" s="10"/>
      <c r="K212" s="10"/>
      <c r="L212" s="10"/>
      <c r="M212" s="51"/>
    </row>
    <row r="213" spans="1:13" x14ac:dyDescent="0.2">
      <c r="A213"/>
      <c r="B213"/>
      <c r="C213"/>
      <c r="D213"/>
      <c r="E213" s="7"/>
      <c r="F213"/>
      <c r="G213"/>
      <c r="H213" s="10"/>
      <c r="I213" s="10"/>
      <c r="J213" s="10"/>
      <c r="K213" s="10"/>
      <c r="L213" s="10"/>
      <c r="M213" s="51"/>
    </row>
    <row r="214" spans="1:13" x14ac:dyDescent="0.2">
      <c r="A214"/>
      <c r="B214"/>
      <c r="C214"/>
      <c r="D214"/>
      <c r="E214" s="7"/>
      <c r="F214"/>
      <c r="G214"/>
      <c r="H214" s="10"/>
      <c r="I214" s="10"/>
      <c r="J214" s="10"/>
      <c r="K214" s="10"/>
      <c r="L214" s="10"/>
      <c r="M214" s="51"/>
    </row>
    <row r="215" spans="1:13" x14ac:dyDescent="0.2">
      <c r="A215"/>
      <c r="B215"/>
      <c r="C215"/>
      <c r="D215"/>
      <c r="E215" s="7"/>
      <c r="F215"/>
      <c r="G215"/>
      <c r="H215" s="10"/>
      <c r="I215" s="10"/>
      <c r="J215" s="10"/>
      <c r="K215" s="10"/>
      <c r="L215" s="10"/>
      <c r="M215" s="51"/>
    </row>
    <row r="216" spans="1:13" x14ac:dyDescent="0.2">
      <c r="A216"/>
      <c r="B216"/>
      <c r="C216"/>
      <c r="D216"/>
      <c r="E216" s="7"/>
      <c r="F216"/>
      <c r="G216"/>
      <c r="H216" s="10"/>
      <c r="I216" s="10"/>
      <c r="J216" s="10"/>
      <c r="K216" s="10"/>
      <c r="L216" s="10"/>
      <c r="M216" s="51"/>
    </row>
    <row r="217" spans="1:13" x14ac:dyDescent="0.2">
      <c r="A217"/>
      <c r="B217"/>
      <c r="C217"/>
      <c r="D217"/>
      <c r="E217" s="7"/>
      <c r="F217"/>
      <c r="G217"/>
      <c r="H217" s="10"/>
      <c r="I217" s="10"/>
      <c r="J217" s="10"/>
      <c r="K217" s="10"/>
      <c r="L217" s="10"/>
      <c r="M217" s="51"/>
    </row>
    <row r="218" spans="1:13" x14ac:dyDescent="0.2">
      <c r="A218"/>
      <c r="B218"/>
      <c r="C218"/>
      <c r="D218"/>
      <c r="E218" s="7"/>
      <c r="F218"/>
      <c r="G218"/>
      <c r="H218" s="10"/>
      <c r="I218" s="10"/>
      <c r="J218" s="10"/>
      <c r="K218" s="10"/>
      <c r="L218" s="10"/>
      <c r="M218" s="51"/>
    </row>
    <row r="219" spans="1:13" x14ac:dyDescent="0.2">
      <c r="A219"/>
      <c r="B219"/>
      <c r="C219"/>
      <c r="D219"/>
      <c r="E219" s="7"/>
      <c r="F219"/>
      <c r="G219"/>
      <c r="H219" s="10"/>
      <c r="I219" s="10"/>
      <c r="J219" s="10"/>
      <c r="K219" s="10"/>
      <c r="L219" s="10"/>
      <c r="M219" s="51"/>
    </row>
    <row r="220" spans="1:13" x14ac:dyDescent="0.2">
      <c r="A220"/>
      <c r="B220"/>
      <c r="C220"/>
      <c r="D220"/>
      <c r="E220" s="7"/>
      <c r="F220"/>
      <c r="G220"/>
      <c r="H220" s="10"/>
      <c r="I220" s="10"/>
      <c r="J220" s="10"/>
      <c r="K220" s="10"/>
      <c r="L220" s="10"/>
      <c r="M220" s="51"/>
    </row>
    <row r="221" spans="1:13" x14ac:dyDescent="0.2">
      <c r="A221"/>
      <c r="B221"/>
      <c r="C221"/>
      <c r="D221"/>
      <c r="E221" s="7"/>
      <c r="F221"/>
      <c r="G221"/>
      <c r="H221" s="10"/>
      <c r="I221" s="10"/>
      <c r="J221" s="10"/>
      <c r="K221" s="10"/>
      <c r="L221" s="10"/>
      <c r="M221" s="51"/>
    </row>
    <row r="222" spans="1:13" x14ac:dyDescent="0.2">
      <c r="A222"/>
      <c r="B222"/>
      <c r="C222"/>
      <c r="D222"/>
      <c r="E222" s="7"/>
      <c r="F222"/>
      <c r="G222"/>
      <c r="H222" s="10"/>
      <c r="I222" s="10"/>
      <c r="J222" s="10"/>
      <c r="K222" s="10"/>
      <c r="L222" s="10"/>
      <c r="M222" s="51"/>
    </row>
    <row r="223" spans="1:13" x14ac:dyDescent="0.2">
      <c r="A223"/>
      <c r="B223"/>
      <c r="C223"/>
      <c r="D223"/>
      <c r="E223" s="7"/>
      <c r="F223"/>
      <c r="G223"/>
      <c r="H223" s="10"/>
      <c r="I223" s="10"/>
      <c r="J223" s="10"/>
      <c r="K223" s="10"/>
      <c r="L223" s="10"/>
      <c r="M223" s="51"/>
    </row>
    <row r="224" spans="1:13" x14ac:dyDescent="0.2">
      <c r="A224"/>
      <c r="B224"/>
      <c r="C224"/>
      <c r="D224"/>
      <c r="E224" s="7"/>
      <c r="F224"/>
      <c r="G224"/>
      <c r="H224" s="10"/>
      <c r="I224" s="10"/>
      <c r="J224" s="10"/>
      <c r="K224" s="10"/>
      <c r="L224" s="10"/>
      <c r="M224" s="51"/>
    </row>
    <row r="225" spans="1:13" x14ac:dyDescent="0.2">
      <c r="A225"/>
      <c r="B225"/>
      <c r="C225"/>
      <c r="D225"/>
      <c r="E225" s="7"/>
      <c r="F225"/>
      <c r="G225"/>
      <c r="H225" s="10"/>
      <c r="I225" s="10"/>
      <c r="J225" s="10"/>
      <c r="K225" s="10"/>
      <c r="L225" s="10"/>
      <c r="M225" s="51"/>
    </row>
    <row r="226" spans="1:13" x14ac:dyDescent="0.2">
      <c r="A226"/>
      <c r="B226"/>
      <c r="C226"/>
      <c r="D226"/>
      <c r="E226" s="7"/>
      <c r="F226"/>
      <c r="G226"/>
      <c r="H226" s="10"/>
      <c r="I226" s="10"/>
      <c r="J226" s="10"/>
      <c r="K226" s="10"/>
      <c r="L226" s="10"/>
      <c r="M226" s="51"/>
    </row>
    <row r="227" spans="1:13" x14ac:dyDescent="0.2">
      <c r="A227"/>
      <c r="B227"/>
      <c r="C227"/>
      <c r="D227"/>
      <c r="E227" s="7"/>
      <c r="F227"/>
      <c r="G227"/>
      <c r="H227" s="10"/>
      <c r="I227" s="10"/>
      <c r="J227" s="10"/>
      <c r="K227" s="10"/>
      <c r="L227" s="10"/>
      <c r="M227" s="51"/>
    </row>
    <row r="228" spans="1:13" x14ac:dyDescent="0.2">
      <c r="A228"/>
      <c r="B228"/>
      <c r="C228"/>
      <c r="D228"/>
      <c r="E228" s="7"/>
      <c r="F228"/>
      <c r="G228"/>
      <c r="H228" s="10"/>
      <c r="I228" s="10"/>
      <c r="J228" s="10"/>
      <c r="K228" s="10"/>
      <c r="L228" s="10"/>
      <c r="M228" s="51"/>
    </row>
    <row r="229" spans="1:13" x14ac:dyDescent="0.2">
      <c r="A229"/>
      <c r="B229"/>
      <c r="C229"/>
      <c r="D229"/>
      <c r="E229" s="7"/>
      <c r="F229"/>
      <c r="G229"/>
      <c r="H229" s="10"/>
      <c r="I229" s="10"/>
      <c r="J229" s="10"/>
      <c r="K229" s="10"/>
      <c r="L229" s="10"/>
      <c r="M229" s="51"/>
    </row>
    <row r="230" spans="1:13" x14ac:dyDescent="0.2">
      <c r="A230"/>
      <c r="B230"/>
      <c r="C230"/>
      <c r="D230"/>
      <c r="E230" s="7"/>
      <c r="F230"/>
      <c r="G230"/>
      <c r="H230" s="10"/>
      <c r="I230" s="10"/>
      <c r="J230" s="10"/>
      <c r="K230" s="10"/>
      <c r="L230" s="10"/>
      <c r="M230" s="51"/>
    </row>
    <row r="231" spans="1:13" x14ac:dyDescent="0.2">
      <c r="A231"/>
      <c r="B231"/>
      <c r="C231"/>
      <c r="D231"/>
      <c r="E231" s="7"/>
      <c r="F231"/>
      <c r="G231"/>
      <c r="H231" s="10"/>
      <c r="I231" s="10"/>
      <c r="J231" s="10"/>
      <c r="K231" s="10"/>
      <c r="L231" s="10"/>
      <c r="M231" s="51"/>
    </row>
    <row r="232" spans="1:13" x14ac:dyDescent="0.2">
      <c r="A232"/>
      <c r="B232"/>
      <c r="C232"/>
      <c r="D232"/>
      <c r="E232" s="7"/>
      <c r="F232"/>
      <c r="G232"/>
      <c r="H232" s="10"/>
      <c r="I232" s="10"/>
      <c r="J232" s="10"/>
      <c r="K232" s="10"/>
      <c r="L232" s="10"/>
      <c r="M232" s="51"/>
    </row>
    <row r="233" spans="1:13" x14ac:dyDescent="0.2">
      <c r="A233"/>
      <c r="B233"/>
      <c r="C233"/>
      <c r="D233"/>
      <c r="E233" s="7"/>
      <c r="F233"/>
      <c r="G233"/>
      <c r="H233" s="10"/>
      <c r="I233" s="10"/>
      <c r="J233" s="10"/>
      <c r="K233" s="10"/>
      <c r="L233" s="10"/>
      <c r="M233" s="51"/>
    </row>
    <row r="234" spans="1:13" x14ac:dyDescent="0.2">
      <c r="A234"/>
      <c r="B234"/>
      <c r="C234"/>
      <c r="D234"/>
      <c r="E234" s="7"/>
      <c r="F234"/>
      <c r="G234"/>
      <c r="H234" s="10"/>
      <c r="I234" s="10"/>
      <c r="J234" s="10"/>
      <c r="K234" s="10"/>
      <c r="L234" s="10"/>
      <c r="M234" s="51"/>
    </row>
    <row r="235" spans="1:13" x14ac:dyDescent="0.2">
      <c r="A235"/>
      <c r="B235"/>
      <c r="C235"/>
      <c r="D235"/>
      <c r="E235" s="7"/>
      <c r="F235"/>
      <c r="G235"/>
      <c r="H235" s="10"/>
      <c r="I235" s="10"/>
      <c r="J235" s="10"/>
      <c r="K235" s="10"/>
      <c r="L235" s="10"/>
      <c r="M235" s="51"/>
    </row>
    <row r="236" spans="1:13" x14ac:dyDescent="0.2">
      <c r="A236"/>
      <c r="B236"/>
      <c r="C236"/>
      <c r="D236"/>
      <c r="E236" s="7"/>
      <c r="F236"/>
      <c r="G236"/>
      <c r="H236" s="10"/>
      <c r="I236" s="10"/>
      <c r="J236" s="10"/>
      <c r="K236" s="10"/>
      <c r="L236" s="10"/>
      <c r="M236" s="51"/>
    </row>
    <row r="237" spans="1:13" x14ac:dyDescent="0.2">
      <c r="A237"/>
      <c r="B237"/>
      <c r="C237"/>
      <c r="D237"/>
      <c r="E237" s="7"/>
      <c r="F237"/>
      <c r="G237"/>
      <c r="H237" s="10"/>
      <c r="I237" s="10"/>
      <c r="J237" s="10"/>
      <c r="K237" s="10"/>
      <c r="L237" s="10"/>
      <c r="M237" s="51"/>
    </row>
    <row r="238" spans="1:13" x14ac:dyDescent="0.2">
      <c r="A238"/>
      <c r="B238"/>
      <c r="C238"/>
      <c r="D238"/>
      <c r="E238" s="7"/>
      <c r="F238"/>
      <c r="G238"/>
      <c r="H238" s="10"/>
      <c r="I238" s="10"/>
      <c r="J238" s="10"/>
      <c r="K238" s="10"/>
      <c r="L238" s="10"/>
      <c r="M238" s="51"/>
    </row>
    <row r="239" spans="1:13" x14ac:dyDescent="0.2">
      <c r="A239"/>
      <c r="B239"/>
      <c r="C239"/>
      <c r="D239"/>
      <c r="E239" s="7"/>
      <c r="F239"/>
      <c r="G239"/>
      <c r="H239" s="10"/>
      <c r="I239" s="10"/>
      <c r="J239" s="10"/>
      <c r="K239" s="10"/>
      <c r="L239" s="10"/>
      <c r="M239" s="51"/>
    </row>
    <row r="240" spans="1:13" x14ac:dyDescent="0.2">
      <c r="A240"/>
      <c r="B240"/>
      <c r="C240"/>
      <c r="D240"/>
      <c r="E240" s="7"/>
      <c r="F240"/>
      <c r="G240"/>
      <c r="H240" s="10"/>
      <c r="I240" s="10"/>
      <c r="J240" s="10"/>
      <c r="K240" s="10"/>
      <c r="L240" s="10"/>
      <c r="M240" s="51"/>
    </row>
  </sheetData>
  <autoFilter ref="A1:M240"/>
  <pageMargins left="0.75" right="0.75" top="1" bottom="1" header="0.5" footer="0.5"/>
  <pageSetup scale="7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240"/>
  <sheetViews>
    <sheetView zoomScale="120" zoomScaleNormal="120" workbookViewId="0">
      <pane ySplit="1" topLeftCell="A102" activePane="bottomLeft" state="frozen"/>
      <selection activeCell="L2" sqref="L2"/>
      <selection pane="bottomLeft" activeCell="A102" sqref="A102:XFD102"/>
    </sheetView>
  </sheetViews>
  <sheetFormatPr defaultColWidth="9.140625" defaultRowHeight="12.75" x14ac:dyDescent="0.2"/>
  <cols>
    <col min="1" max="1" width="10.140625" style="3" customWidth="1"/>
    <col min="2" max="2" width="25.7109375" style="3" customWidth="1"/>
    <col min="3" max="3" width="10.85546875" style="3" bestFit="1" customWidth="1"/>
    <col min="4" max="4" width="13.7109375" style="3" customWidth="1"/>
    <col min="5" max="5" width="11.42578125" style="8" customWidth="1"/>
    <col min="6" max="7" width="8" style="3" customWidth="1"/>
    <col min="8" max="8" width="8" style="38" customWidth="1"/>
    <col min="9" max="9" width="10.5703125" style="11" customWidth="1"/>
    <col min="10" max="10" width="15.28515625" style="11" customWidth="1"/>
    <col min="11" max="11" width="9.140625" style="11" customWidth="1"/>
    <col min="12" max="12" width="8" style="11" customWidth="1"/>
    <col min="13" max="13" width="116.28515625" style="82" customWidth="1"/>
    <col min="14" max="14" width="27.85546875" style="14" bestFit="1" customWidth="1"/>
    <col min="15" max="16384" width="9.140625" style="3"/>
  </cols>
  <sheetData>
    <row r="1" spans="1:14" s="1" customFormat="1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1" t="s">
        <v>5</v>
      </c>
      <c r="G1" s="1" t="s">
        <v>6</v>
      </c>
      <c r="H1" s="36" t="s">
        <v>7</v>
      </c>
      <c r="I1" s="30" t="s">
        <v>8</v>
      </c>
      <c r="J1" s="30" t="s">
        <v>9</v>
      </c>
      <c r="K1" s="16" t="s">
        <v>10</v>
      </c>
      <c r="L1" s="16" t="s">
        <v>11</v>
      </c>
      <c r="M1" s="77" t="s">
        <v>12</v>
      </c>
      <c r="N1" s="13"/>
    </row>
    <row r="2" spans="1:14" x14ac:dyDescent="0.2">
      <c r="A2" t="s">
        <v>170</v>
      </c>
      <c r="B2" t="s">
        <v>171</v>
      </c>
      <c r="C2" s="5">
        <v>43509</v>
      </c>
      <c r="D2" s="2" t="s">
        <v>15</v>
      </c>
      <c r="E2" s="7">
        <v>31027</v>
      </c>
      <c r="F2"/>
      <c r="G2"/>
      <c r="H2" s="37">
        <f>3.75-7.5+0.115</f>
        <v>-3.6349999999999998</v>
      </c>
      <c r="I2" s="23">
        <v>130</v>
      </c>
      <c r="J2" s="14">
        <v>127.6</v>
      </c>
      <c r="K2" s="24">
        <f>J2-I2</f>
        <v>-2.4000000000000057</v>
      </c>
      <c r="L2" s="24"/>
      <c r="M2" s="2" t="s">
        <v>16</v>
      </c>
      <c r="N2" s="3"/>
    </row>
    <row r="3" spans="1:14" x14ac:dyDescent="0.2">
      <c r="A3" t="s">
        <v>170</v>
      </c>
      <c r="B3" t="s">
        <v>171</v>
      </c>
      <c r="C3" s="5">
        <v>43509</v>
      </c>
      <c r="D3" s="2" t="s">
        <v>17</v>
      </c>
      <c r="E3" s="7">
        <v>19321</v>
      </c>
      <c r="F3"/>
      <c r="G3"/>
      <c r="H3" s="37">
        <f>1.31-2.96</f>
        <v>-1.65</v>
      </c>
      <c r="I3" s="10"/>
      <c r="J3" s="10"/>
      <c r="K3" s="10"/>
      <c r="L3" s="10"/>
      <c r="M3" s="51" t="s">
        <v>18</v>
      </c>
    </row>
    <row r="4" spans="1:14" x14ac:dyDescent="0.2">
      <c r="A4" t="s">
        <v>170</v>
      </c>
      <c r="B4" t="s">
        <v>171</v>
      </c>
      <c r="C4" s="5">
        <v>43509</v>
      </c>
      <c r="D4" s="2" t="s">
        <v>19</v>
      </c>
      <c r="E4" s="12">
        <v>2102</v>
      </c>
      <c r="F4"/>
      <c r="G4"/>
      <c r="H4" s="37"/>
      <c r="I4" s="10"/>
      <c r="J4" s="10"/>
      <c r="K4" s="10"/>
      <c r="L4" s="10"/>
      <c r="M4" s="51"/>
    </row>
    <row r="5" spans="1:14" x14ac:dyDescent="0.2">
      <c r="A5" t="s">
        <v>170</v>
      </c>
      <c r="B5" t="s">
        <v>171</v>
      </c>
      <c r="C5" s="5">
        <v>43509</v>
      </c>
      <c r="D5" s="2" t="s">
        <v>20</v>
      </c>
      <c r="E5" s="12"/>
      <c r="F5"/>
      <c r="G5"/>
      <c r="H5" s="37">
        <v>-0.26</v>
      </c>
      <c r="I5" s="10"/>
      <c r="J5" s="10"/>
      <c r="K5" s="10"/>
      <c r="L5" s="10"/>
      <c r="M5" s="51"/>
    </row>
    <row r="6" spans="1:14" x14ac:dyDescent="0.2">
      <c r="A6" t="s">
        <v>170</v>
      </c>
      <c r="B6" t="s">
        <v>171</v>
      </c>
      <c r="C6" s="5">
        <v>43509</v>
      </c>
      <c r="D6" s="2" t="s">
        <v>21</v>
      </c>
      <c r="E6" s="12"/>
      <c r="F6">
        <v>151013</v>
      </c>
      <c r="G6">
        <v>522326</v>
      </c>
      <c r="H6" s="37">
        <v>2.39</v>
      </c>
      <c r="I6" s="10"/>
      <c r="J6" s="10"/>
      <c r="K6" s="10"/>
      <c r="L6" s="10"/>
      <c r="M6" s="51"/>
    </row>
    <row r="7" spans="1:14" x14ac:dyDescent="0.2">
      <c r="A7" t="s">
        <v>170</v>
      </c>
      <c r="B7" t="s">
        <v>171</v>
      </c>
      <c r="C7" s="5">
        <v>43522</v>
      </c>
      <c r="D7" s="2" t="s">
        <v>23</v>
      </c>
      <c r="H7" s="38">
        <v>-3.75</v>
      </c>
      <c r="I7" s="10"/>
      <c r="J7" s="10"/>
      <c r="K7" s="10"/>
      <c r="L7" s="10"/>
      <c r="M7" s="85" t="s">
        <v>89</v>
      </c>
    </row>
    <row r="8" spans="1:14" x14ac:dyDescent="0.2">
      <c r="A8" t="s">
        <v>170</v>
      </c>
      <c r="B8" t="s">
        <v>171</v>
      </c>
      <c r="C8" s="5">
        <v>43522</v>
      </c>
      <c r="D8" s="2" t="s">
        <v>17</v>
      </c>
      <c r="E8" s="7">
        <v>19321</v>
      </c>
      <c r="F8"/>
      <c r="G8"/>
      <c r="H8" s="37">
        <v>-1.68</v>
      </c>
      <c r="I8" s="10"/>
      <c r="J8" s="10"/>
      <c r="K8" s="10"/>
      <c r="L8" s="10"/>
      <c r="M8" s="81" t="s">
        <v>144</v>
      </c>
    </row>
    <row r="9" spans="1:14" x14ac:dyDescent="0.2">
      <c r="A9" t="s">
        <v>170</v>
      </c>
      <c r="B9" t="s">
        <v>171</v>
      </c>
      <c r="C9" s="5">
        <v>43522</v>
      </c>
      <c r="D9" s="41" t="s">
        <v>21</v>
      </c>
      <c r="E9" s="7"/>
      <c r="F9">
        <v>151013</v>
      </c>
      <c r="G9">
        <v>522326</v>
      </c>
      <c r="H9" s="37">
        <v>3.7</v>
      </c>
      <c r="I9" s="10"/>
      <c r="J9" s="10"/>
      <c r="K9" s="10"/>
      <c r="L9" s="10"/>
      <c r="M9" s="81" t="s">
        <v>172</v>
      </c>
    </row>
    <row r="10" spans="1:14" x14ac:dyDescent="0.2">
      <c r="A10" t="s">
        <v>170</v>
      </c>
      <c r="B10" t="s">
        <v>171</v>
      </c>
      <c r="C10" s="5">
        <v>43543</v>
      </c>
      <c r="D10" s="3" t="s">
        <v>17</v>
      </c>
      <c r="E10" s="7">
        <v>19321</v>
      </c>
      <c r="F10"/>
      <c r="G10"/>
      <c r="H10" s="37">
        <f>-1.68-0.007</f>
        <v>-1.6869999999999998</v>
      </c>
      <c r="I10" s="10"/>
      <c r="J10" s="10"/>
      <c r="K10" s="10"/>
      <c r="L10" s="10"/>
      <c r="M10" s="85" t="s">
        <v>26</v>
      </c>
    </row>
    <row r="11" spans="1:14" x14ac:dyDescent="0.2">
      <c r="A11" t="s">
        <v>170</v>
      </c>
      <c r="B11" t="s">
        <v>171</v>
      </c>
      <c r="C11" s="40">
        <v>43551</v>
      </c>
      <c r="D11" s="41" t="s">
        <v>23</v>
      </c>
      <c r="E11" s="42"/>
      <c r="F11" s="20"/>
      <c r="G11" s="20"/>
      <c r="H11" s="10">
        <v>-3.6907000000000001</v>
      </c>
      <c r="I11" s="10"/>
      <c r="J11" s="10"/>
      <c r="K11" s="10"/>
      <c r="L11" s="10"/>
      <c r="M11" s="51"/>
    </row>
    <row r="12" spans="1:14" x14ac:dyDescent="0.2">
      <c r="A12" t="s">
        <v>170</v>
      </c>
      <c r="B12" t="s">
        <v>171</v>
      </c>
      <c r="C12" s="40">
        <v>43551</v>
      </c>
      <c r="D12" s="41" t="s">
        <v>15</v>
      </c>
      <c r="E12" s="7">
        <v>31027</v>
      </c>
      <c r="F12" s="20"/>
      <c r="G12" s="20"/>
      <c r="H12" s="19">
        <f>-3.6907+0.181</f>
        <v>-3.5097</v>
      </c>
      <c r="I12" s="23">
        <v>130</v>
      </c>
      <c r="J12" s="14">
        <v>127.6</v>
      </c>
      <c r="K12" s="24">
        <f>J12-I12</f>
        <v>-2.4000000000000057</v>
      </c>
      <c r="L12" s="10"/>
      <c r="M12" s="51"/>
    </row>
    <row r="13" spans="1:14" x14ac:dyDescent="0.2">
      <c r="A13" t="s">
        <v>170</v>
      </c>
      <c r="B13" t="s">
        <v>171</v>
      </c>
      <c r="C13" s="40">
        <v>43551</v>
      </c>
      <c r="D13" s="41" t="s">
        <v>21</v>
      </c>
      <c r="E13" s="42"/>
      <c r="F13">
        <v>151013</v>
      </c>
      <c r="G13">
        <v>522326</v>
      </c>
      <c r="H13" s="19">
        <v>2.2302</v>
      </c>
      <c r="I13" s="10"/>
      <c r="J13" s="10"/>
      <c r="K13" s="10"/>
      <c r="L13" s="10"/>
      <c r="M13" s="51" t="s">
        <v>76</v>
      </c>
    </row>
    <row r="14" spans="1:14" x14ac:dyDescent="0.2">
      <c r="A14" t="s">
        <v>170</v>
      </c>
      <c r="B14" t="s">
        <v>171</v>
      </c>
      <c r="C14" s="40">
        <v>43551</v>
      </c>
      <c r="D14" s="41" t="s">
        <v>17</v>
      </c>
      <c r="E14" s="7">
        <v>19321</v>
      </c>
      <c r="F14" s="20"/>
      <c r="G14" s="20"/>
      <c r="H14" s="19">
        <f>1.2487-2.967</f>
        <v>-1.7183000000000002</v>
      </c>
      <c r="I14" s="10"/>
      <c r="J14" s="10"/>
      <c r="K14" s="10"/>
      <c r="L14" s="10"/>
      <c r="M14" s="51"/>
    </row>
    <row r="15" spans="1:14" x14ac:dyDescent="0.2">
      <c r="A15" t="s">
        <v>170</v>
      </c>
      <c r="B15" t="s">
        <v>171</v>
      </c>
      <c r="C15" s="40">
        <v>43570</v>
      </c>
      <c r="D15" s="41" t="s">
        <v>23</v>
      </c>
      <c r="E15" s="42"/>
      <c r="F15" s="20"/>
      <c r="G15" s="20"/>
      <c r="H15" s="10">
        <v>-3.6907000000000001</v>
      </c>
      <c r="I15" s="10"/>
      <c r="J15" s="10"/>
      <c r="K15" s="10"/>
      <c r="L15" s="10"/>
      <c r="M15" s="51"/>
    </row>
    <row r="16" spans="1:14" x14ac:dyDescent="0.2">
      <c r="A16" t="s">
        <v>170</v>
      </c>
      <c r="B16" t="s">
        <v>171</v>
      </c>
      <c r="C16" s="40">
        <v>43570</v>
      </c>
      <c r="D16" s="41" t="s">
        <v>15</v>
      </c>
      <c r="E16" s="7">
        <v>31027</v>
      </c>
      <c r="F16" s="20"/>
      <c r="G16" s="20"/>
      <c r="H16" s="19">
        <f>H15+0.181</f>
        <v>-3.5097</v>
      </c>
      <c r="I16" s="23">
        <v>130</v>
      </c>
      <c r="J16" s="14">
        <v>127.6</v>
      </c>
      <c r="K16" s="24">
        <f>J16-I16</f>
        <v>-2.4000000000000057</v>
      </c>
      <c r="L16" s="10"/>
      <c r="M16" s="51"/>
    </row>
    <row r="17" spans="1:13" x14ac:dyDescent="0.2">
      <c r="A17" t="s">
        <v>170</v>
      </c>
      <c r="B17" t="s">
        <v>171</v>
      </c>
      <c r="C17" s="40">
        <v>43570</v>
      </c>
      <c r="D17" s="41" t="s">
        <v>21</v>
      </c>
      <c r="E17" s="42"/>
      <c r="F17">
        <v>151013</v>
      </c>
      <c r="G17">
        <v>522326</v>
      </c>
      <c r="H17" s="19">
        <v>2.2139000000000002</v>
      </c>
      <c r="I17" s="10"/>
      <c r="J17" s="10"/>
      <c r="K17" s="10"/>
      <c r="L17" s="10"/>
      <c r="M17" s="51"/>
    </row>
    <row r="18" spans="1:13" x14ac:dyDescent="0.2">
      <c r="A18" t="s">
        <v>170</v>
      </c>
      <c r="B18" t="s">
        <v>171</v>
      </c>
      <c r="C18" s="40">
        <v>43570</v>
      </c>
      <c r="D18" s="41" t="s">
        <v>17</v>
      </c>
      <c r="E18" s="7">
        <v>19321</v>
      </c>
      <c r="F18" s="20"/>
      <c r="G18" s="20"/>
      <c r="H18" s="19">
        <f>1.2102-2.967</f>
        <v>-1.7568000000000001</v>
      </c>
      <c r="I18" s="10"/>
      <c r="J18" s="10"/>
      <c r="K18" s="10"/>
      <c r="L18" s="10"/>
      <c r="M18" s="51"/>
    </row>
    <row r="19" spans="1:13" x14ac:dyDescent="0.2">
      <c r="A19" t="s">
        <v>170</v>
      </c>
      <c r="B19" t="s">
        <v>171</v>
      </c>
      <c r="C19" s="40">
        <v>43605</v>
      </c>
      <c r="D19" s="41" t="s">
        <v>23</v>
      </c>
      <c r="E19" s="42"/>
      <c r="F19" s="20"/>
      <c r="G19" s="20"/>
      <c r="H19" s="10">
        <v>-3.7604000000000002</v>
      </c>
      <c r="I19" s="10"/>
      <c r="J19" s="10"/>
      <c r="K19" s="10"/>
      <c r="L19" s="10"/>
      <c r="M19" s="51"/>
    </row>
    <row r="20" spans="1:13" x14ac:dyDescent="0.2">
      <c r="A20" t="s">
        <v>170</v>
      </c>
      <c r="B20" t="s">
        <v>171</v>
      </c>
      <c r="C20" s="40">
        <v>43605</v>
      </c>
      <c r="D20" s="41" t="s">
        <v>15</v>
      </c>
      <c r="E20" s="7">
        <v>31027</v>
      </c>
      <c r="F20" s="20"/>
      <c r="G20" s="20"/>
      <c r="H20" s="19">
        <f>H19+0.181</f>
        <v>-3.5794000000000001</v>
      </c>
      <c r="I20" s="23">
        <v>130</v>
      </c>
      <c r="J20" s="14">
        <v>127.6</v>
      </c>
      <c r="K20" s="24">
        <f>J20-I20</f>
        <v>-2.4000000000000057</v>
      </c>
      <c r="L20" s="10"/>
      <c r="M20" s="51"/>
    </row>
    <row r="21" spans="1:13" x14ac:dyDescent="0.2">
      <c r="A21" t="s">
        <v>170</v>
      </c>
      <c r="B21" t="s">
        <v>171</v>
      </c>
      <c r="C21" s="40">
        <v>43605</v>
      </c>
      <c r="D21" s="41" t="s">
        <v>21</v>
      </c>
      <c r="E21" s="42"/>
      <c r="F21">
        <v>151013</v>
      </c>
      <c r="G21">
        <v>522326</v>
      </c>
      <c r="H21" s="19">
        <v>2.2065999999999999</v>
      </c>
      <c r="I21" s="10"/>
      <c r="J21" s="10"/>
      <c r="K21" s="10"/>
      <c r="L21" s="10"/>
      <c r="M21" s="51"/>
    </row>
    <row r="22" spans="1:13" x14ac:dyDescent="0.2">
      <c r="A22" t="s">
        <v>170</v>
      </c>
      <c r="B22" t="s">
        <v>171</v>
      </c>
      <c r="C22" s="40">
        <v>43605</v>
      </c>
      <c r="D22" s="41" t="s">
        <v>17</v>
      </c>
      <c r="E22" s="7">
        <v>19321</v>
      </c>
      <c r="F22" s="20"/>
      <c r="G22" s="20"/>
      <c r="H22" s="19">
        <f>1.2134-2.967</f>
        <v>-1.7536</v>
      </c>
      <c r="I22" s="10"/>
      <c r="J22" s="10"/>
      <c r="K22" s="10"/>
      <c r="L22" s="10"/>
      <c r="M22" s="51" t="s">
        <v>29</v>
      </c>
    </row>
    <row r="23" spans="1:13" x14ac:dyDescent="0.2">
      <c r="A23" t="s">
        <v>170</v>
      </c>
      <c r="B23" t="s">
        <v>171</v>
      </c>
      <c r="C23" s="40">
        <v>43634</v>
      </c>
      <c r="D23" s="41" t="s">
        <v>23</v>
      </c>
      <c r="E23" s="42"/>
      <c r="F23" s="20"/>
      <c r="G23" s="20"/>
      <c r="H23" s="10">
        <v>-3.7604000000000002</v>
      </c>
      <c r="I23" s="10"/>
      <c r="J23" s="10"/>
      <c r="K23" s="10"/>
      <c r="L23" s="10"/>
      <c r="M23" s="46">
        <v>-3.7372999999999998</v>
      </c>
    </row>
    <row r="24" spans="1:13" x14ac:dyDescent="0.2">
      <c r="A24" t="s">
        <v>170</v>
      </c>
      <c r="B24" t="s">
        <v>171</v>
      </c>
      <c r="C24" s="40">
        <v>43634</v>
      </c>
      <c r="D24" s="41" t="s">
        <v>15</v>
      </c>
      <c r="E24" s="7">
        <v>31027</v>
      </c>
      <c r="F24" s="20"/>
      <c r="G24" s="20"/>
      <c r="H24" s="19">
        <f>H23+0.181</f>
        <v>-3.5794000000000001</v>
      </c>
      <c r="I24" s="23">
        <v>130</v>
      </c>
      <c r="J24" s="14">
        <v>127.6</v>
      </c>
      <c r="K24" s="24">
        <f>J24-I24</f>
        <v>-2.4000000000000057</v>
      </c>
      <c r="L24" s="10"/>
      <c r="M24" s="45">
        <f>M23+0.181</f>
        <v>-3.5562999999999998</v>
      </c>
    </row>
    <row r="25" spans="1:13" x14ac:dyDescent="0.2">
      <c r="A25" t="s">
        <v>170</v>
      </c>
      <c r="B25" t="s">
        <v>171</v>
      </c>
      <c r="C25" s="40">
        <v>43634</v>
      </c>
      <c r="D25" s="41" t="s">
        <v>21</v>
      </c>
      <c r="E25" s="42"/>
      <c r="F25">
        <v>151013</v>
      </c>
      <c r="G25">
        <v>522326</v>
      </c>
      <c r="H25" s="19">
        <v>2.2065999999999999</v>
      </c>
      <c r="I25" s="10"/>
      <c r="J25" s="10"/>
      <c r="K25" s="10"/>
      <c r="L25" s="10"/>
      <c r="M25" s="45">
        <v>2.2145000000000001</v>
      </c>
    </row>
    <row r="26" spans="1:13" x14ac:dyDescent="0.2">
      <c r="A26" t="s">
        <v>170</v>
      </c>
      <c r="B26" t="s">
        <v>171</v>
      </c>
      <c r="C26" s="40">
        <v>43634</v>
      </c>
      <c r="D26" s="41" t="s">
        <v>17</v>
      </c>
      <c r="E26" s="7">
        <v>19321</v>
      </c>
      <c r="F26" s="20"/>
      <c r="G26" s="20"/>
      <c r="H26" s="19">
        <f>1.2134-2.967</f>
        <v>-1.7536</v>
      </c>
      <c r="I26" s="10"/>
      <c r="J26" s="10"/>
      <c r="K26" s="10"/>
      <c r="L26" s="10"/>
      <c r="M26" s="45">
        <f>1.2395-2.967</f>
        <v>-1.7275</v>
      </c>
    </row>
    <row r="27" spans="1:13" x14ac:dyDescent="0.2">
      <c r="A27" t="s">
        <v>170</v>
      </c>
      <c r="B27" t="s">
        <v>171</v>
      </c>
      <c r="C27" s="40">
        <v>43663</v>
      </c>
      <c r="D27" s="41" t="s">
        <v>23</v>
      </c>
      <c r="E27" s="42"/>
      <c r="F27" s="20"/>
      <c r="G27" s="20"/>
      <c r="H27" s="10">
        <v>-3.7604000000000002</v>
      </c>
      <c r="I27" s="10"/>
      <c r="J27" s="10"/>
      <c r="K27" s="10"/>
      <c r="L27" s="10"/>
      <c r="M27" s="46">
        <v>-3.7610000000000001</v>
      </c>
    </row>
    <row r="28" spans="1:13" x14ac:dyDescent="0.2">
      <c r="A28" t="s">
        <v>170</v>
      </c>
      <c r="B28" t="s">
        <v>171</v>
      </c>
      <c r="C28" s="40">
        <v>43663</v>
      </c>
      <c r="D28" s="41" t="s">
        <v>15</v>
      </c>
      <c r="E28" s="7">
        <v>31027</v>
      </c>
      <c r="F28" s="20"/>
      <c r="G28" s="20"/>
      <c r="H28" s="19">
        <f>H27+0.181</f>
        <v>-3.5794000000000001</v>
      </c>
      <c r="I28" s="23">
        <v>130</v>
      </c>
      <c r="J28" s="14">
        <v>127.6</v>
      </c>
      <c r="K28" s="24">
        <f>J28-I28</f>
        <v>-2.4000000000000057</v>
      </c>
      <c r="L28" s="10"/>
      <c r="M28" s="45">
        <f>M27+0.181</f>
        <v>-3.58</v>
      </c>
    </row>
    <row r="29" spans="1:13" x14ac:dyDescent="0.2">
      <c r="A29" t="s">
        <v>170</v>
      </c>
      <c r="B29" t="s">
        <v>171</v>
      </c>
      <c r="C29" s="40">
        <v>43663</v>
      </c>
      <c r="D29" s="41" t="s">
        <v>21</v>
      </c>
      <c r="E29" s="42"/>
      <c r="F29">
        <v>151013</v>
      </c>
      <c r="G29">
        <v>522326</v>
      </c>
      <c r="H29" s="19">
        <v>2.2065999999999999</v>
      </c>
      <c r="I29" s="10"/>
      <c r="J29" s="10"/>
      <c r="K29" s="10"/>
      <c r="L29" s="10"/>
      <c r="M29" s="45">
        <v>2.2134999999999998</v>
      </c>
    </row>
    <row r="30" spans="1:13" x14ac:dyDescent="0.2">
      <c r="A30" t="s">
        <v>170</v>
      </c>
      <c r="B30" t="s">
        <v>171</v>
      </c>
      <c r="C30" s="40">
        <v>43663</v>
      </c>
      <c r="D30" s="41" t="s">
        <v>17</v>
      </c>
      <c r="E30" s="7">
        <v>19321</v>
      </c>
      <c r="F30" s="20"/>
      <c r="G30" s="20"/>
      <c r="H30" s="19">
        <f>1.2134-2.967</f>
        <v>-1.7536</v>
      </c>
      <c r="I30" s="10"/>
      <c r="J30" s="10"/>
      <c r="K30" s="10"/>
      <c r="L30" s="10"/>
      <c r="M30" s="45">
        <f>1.2387-2.967</f>
        <v>-1.7283000000000002</v>
      </c>
    </row>
    <row r="31" spans="1:13" x14ac:dyDescent="0.2">
      <c r="A31" t="s">
        <v>170</v>
      </c>
      <c r="B31" t="s">
        <v>171</v>
      </c>
      <c r="C31" s="40">
        <v>43690</v>
      </c>
      <c r="D31" s="41" t="s">
        <v>23</v>
      </c>
      <c r="E31" s="42"/>
      <c r="F31" s="20"/>
      <c r="G31" s="20"/>
      <c r="H31" s="10">
        <v>-3.7240000000000002</v>
      </c>
      <c r="I31" s="10"/>
      <c r="J31" s="10"/>
      <c r="K31" s="10"/>
      <c r="L31" s="10"/>
      <c r="M31" s="46"/>
    </row>
    <row r="32" spans="1:13" x14ac:dyDescent="0.2">
      <c r="A32" t="s">
        <v>170</v>
      </c>
      <c r="B32" t="s">
        <v>171</v>
      </c>
      <c r="C32" s="40">
        <v>43690</v>
      </c>
      <c r="D32" s="41" t="s">
        <v>15</v>
      </c>
      <c r="E32" s="7">
        <v>31027</v>
      </c>
      <c r="F32" s="20"/>
      <c r="G32" s="20"/>
      <c r="H32" s="19">
        <f>H31+0.181</f>
        <v>-3.5430000000000001</v>
      </c>
      <c r="I32" s="23">
        <v>130</v>
      </c>
      <c r="J32" s="14">
        <v>127.6</v>
      </c>
      <c r="K32" s="24">
        <f>J32-I32</f>
        <v>-2.4000000000000057</v>
      </c>
      <c r="L32" s="10"/>
      <c r="M32" s="45"/>
    </row>
    <row r="33" spans="1:13" x14ac:dyDescent="0.2">
      <c r="A33" t="s">
        <v>170</v>
      </c>
      <c r="B33" t="s">
        <v>171</v>
      </c>
      <c r="C33" s="40">
        <v>43690</v>
      </c>
      <c r="D33" s="41" t="s">
        <v>21</v>
      </c>
      <c r="E33" s="42"/>
      <c r="F33">
        <v>151013</v>
      </c>
      <c r="G33">
        <v>522326</v>
      </c>
      <c r="H33" s="19">
        <v>2.2065999999999999</v>
      </c>
      <c r="I33" s="10"/>
      <c r="J33" s="10"/>
      <c r="K33" s="10"/>
      <c r="L33" s="10"/>
      <c r="M33" s="45"/>
    </row>
    <row r="34" spans="1:13" x14ac:dyDescent="0.2">
      <c r="A34" t="s">
        <v>170</v>
      </c>
      <c r="B34" t="s">
        <v>171</v>
      </c>
      <c r="C34" s="40">
        <v>43690</v>
      </c>
      <c r="D34" s="41" t="s">
        <v>17</v>
      </c>
      <c r="E34" s="7">
        <v>19321</v>
      </c>
      <c r="F34" s="20"/>
      <c r="G34" s="20"/>
      <c r="H34" s="73">
        <f>1.2134-2.967</f>
        <v>-1.7536</v>
      </c>
      <c r="I34" s="10"/>
      <c r="J34" s="10"/>
      <c r="K34" s="10"/>
      <c r="L34" s="10"/>
      <c r="M34" s="75" t="s">
        <v>173</v>
      </c>
    </row>
    <row r="35" spans="1:13" x14ac:dyDescent="0.2">
      <c r="A35" t="s">
        <v>170</v>
      </c>
      <c r="B35" t="s">
        <v>171</v>
      </c>
      <c r="C35" s="40">
        <v>43718</v>
      </c>
      <c r="D35" s="41" t="s">
        <v>23</v>
      </c>
      <c r="E35" s="42"/>
      <c r="F35" s="20"/>
      <c r="G35" s="20"/>
      <c r="H35" s="10">
        <v>-3.7604000000000002</v>
      </c>
      <c r="I35" s="10"/>
      <c r="J35" s="10"/>
      <c r="K35" s="10"/>
      <c r="L35" s="10"/>
      <c r="M35" s="51"/>
    </row>
    <row r="36" spans="1:13" x14ac:dyDescent="0.2">
      <c r="A36" t="s">
        <v>170</v>
      </c>
      <c r="B36" t="s">
        <v>171</v>
      </c>
      <c r="C36" s="40">
        <v>43718</v>
      </c>
      <c r="D36" s="41" t="s">
        <v>15</v>
      </c>
      <c r="E36" s="7">
        <v>31027</v>
      </c>
      <c r="F36" s="20"/>
      <c r="G36" s="20"/>
      <c r="H36" s="19">
        <f>H35+0.181</f>
        <v>-3.5794000000000001</v>
      </c>
      <c r="I36" s="23">
        <v>130</v>
      </c>
      <c r="J36" s="14">
        <v>127.6</v>
      </c>
      <c r="K36" s="24">
        <f>J36-I36</f>
        <v>-2.4000000000000057</v>
      </c>
      <c r="L36" s="10"/>
      <c r="M36" s="51"/>
    </row>
    <row r="37" spans="1:13" x14ac:dyDescent="0.2">
      <c r="A37" t="s">
        <v>170</v>
      </c>
      <c r="B37" t="s">
        <v>171</v>
      </c>
      <c r="C37" s="40">
        <v>43718</v>
      </c>
      <c r="D37" s="41" t="s">
        <v>21</v>
      </c>
      <c r="E37" s="42"/>
      <c r="F37">
        <v>151013</v>
      </c>
      <c r="G37">
        <v>522326</v>
      </c>
      <c r="H37" s="19">
        <v>2.2078000000000002</v>
      </c>
      <c r="I37" s="10"/>
      <c r="J37" s="10"/>
      <c r="K37" s="10"/>
      <c r="L37" s="10"/>
      <c r="M37" s="51"/>
    </row>
    <row r="38" spans="1:13" x14ac:dyDescent="0.2">
      <c r="A38" t="s">
        <v>170</v>
      </c>
      <c r="B38" t="s">
        <v>171</v>
      </c>
      <c r="C38" s="40">
        <v>43718</v>
      </c>
      <c r="D38" s="41" t="s">
        <v>17</v>
      </c>
      <c r="E38" s="7">
        <v>19321</v>
      </c>
      <c r="F38" s="20"/>
      <c r="G38" s="20"/>
      <c r="H38" s="19">
        <f>1.2323-2.967</f>
        <v>-1.7347000000000001</v>
      </c>
      <c r="I38" s="10"/>
      <c r="J38" s="10"/>
      <c r="K38" s="10"/>
      <c r="L38" s="10"/>
      <c r="M38" s="51"/>
    </row>
    <row r="39" spans="1:13" x14ac:dyDescent="0.2">
      <c r="A39" t="s">
        <v>170</v>
      </c>
      <c r="B39" t="s">
        <v>171</v>
      </c>
      <c r="C39" s="40">
        <v>43747</v>
      </c>
      <c r="D39" s="41" t="s">
        <v>23</v>
      </c>
      <c r="E39" s="42"/>
      <c r="F39" s="20"/>
      <c r="G39" s="20"/>
      <c r="H39" s="10">
        <v>-3.7604000000000002</v>
      </c>
      <c r="I39" s="10"/>
      <c r="J39" s="10"/>
      <c r="K39" s="10"/>
      <c r="L39" s="10"/>
      <c r="M39" s="46">
        <v>-3.7704</v>
      </c>
    </row>
    <row r="40" spans="1:13" x14ac:dyDescent="0.2">
      <c r="A40" t="s">
        <v>170</v>
      </c>
      <c r="B40" t="s">
        <v>171</v>
      </c>
      <c r="C40" s="40">
        <v>43747</v>
      </c>
      <c r="D40" s="41" t="s">
        <v>15</v>
      </c>
      <c r="E40" s="7">
        <v>31027</v>
      </c>
      <c r="F40" s="20"/>
      <c r="G40" s="20"/>
      <c r="H40" s="19">
        <f>H39+0.181</f>
        <v>-3.5794000000000001</v>
      </c>
      <c r="I40" s="23">
        <v>130</v>
      </c>
      <c r="J40" s="14">
        <v>127.6</v>
      </c>
      <c r="K40" s="24">
        <f>J40-I40</f>
        <v>-2.4000000000000057</v>
      </c>
      <c r="L40" s="10"/>
      <c r="M40" s="45">
        <f>M39+0.181</f>
        <v>-3.5893999999999999</v>
      </c>
    </row>
    <row r="41" spans="1:13" x14ac:dyDescent="0.2">
      <c r="A41" t="s">
        <v>170</v>
      </c>
      <c r="B41" t="s">
        <v>171</v>
      </c>
      <c r="C41" s="40">
        <v>43747</v>
      </c>
      <c r="D41" s="41" t="s">
        <v>21</v>
      </c>
      <c r="E41" s="42"/>
      <c r="F41">
        <v>151013</v>
      </c>
      <c r="G41">
        <v>522326</v>
      </c>
      <c r="H41" s="19">
        <v>2.2078000000000002</v>
      </c>
      <c r="I41" s="10"/>
      <c r="J41" s="10"/>
      <c r="K41" s="10"/>
      <c r="L41" s="10"/>
      <c r="M41" s="45">
        <v>2.2052</v>
      </c>
    </row>
    <row r="42" spans="1:13" x14ac:dyDescent="0.2">
      <c r="A42" t="s">
        <v>170</v>
      </c>
      <c r="B42" t="s">
        <v>171</v>
      </c>
      <c r="C42" s="40">
        <v>43747</v>
      </c>
      <c r="D42" s="41" t="s">
        <v>17</v>
      </c>
      <c r="E42" s="7">
        <v>19321</v>
      </c>
      <c r="F42" s="20"/>
      <c r="G42" s="20"/>
      <c r="H42" s="19">
        <f>1.2323-2.967</f>
        <v>-1.7347000000000001</v>
      </c>
      <c r="I42" s="10"/>
      <c r="J42" s="10"/>
      <c r="K42" s="10"/>
      <c r="L42" s="10"/>
      <c r="M42" s="45">
        <f>1.225-2.967</f>
        <v>-1.742</v>
      </c>
    </row>
    <row r="43" spans="1:13" x14ac:dyDescent="0.2">
      <c r="A43" t="s">
        <v>170</v>
      </c>
      <c r="B43" t="s">
        <v>171</v>
      </c>
      <c r="C43" s="40">
        <v>43780</v>
      </c>
      <c r="D43" s="41" t="s">
        <v>23</v>
      </c>
      <c r="E43" s="42"/>
      <c r="F43" s="20"/>
      <c r="G43" s="20"/>
      <c r="H43" s="10">
        <v>-3.7604000000000002</v>
      </c>
      <c r="I43" s="10"/>
      <c r="J43" s="10"/>
      <c r="K43" s="10"/>
      <c r="L43" s="10"/>
      <c r="M43" s="46">
        <v>-3.7768999999999999</v>
      </c>
    </row>
    <row r="44" spans="1:13" x14ac:dyDescent="0.2">
      <c r="A44" t="s">
        <v>170</v>
      </c>
      <c r="B44" t="s">
        <v>171</v>
      </c>
      <c r="C44" s="40">
        <v>43780</v>
      </c>
      <c r="D44" s="41" t="s">
        <v>15</v>
      </c>
      <c r="E44" s="7">
        <v>31027</v>
      </c>
      <c r="F44" s="20"/>
      <c r="G44" s="20"/>
      <c r="H44" s="19">
        <f>H43+0.181</f>
        <v>-3.5794000000000001</v>
      </c>
      <c r="I44" s="23">
        <v>130</v>
      </c>
      <c r="J44" s="14">
        <v>127.6</v>
      </c>
      <c r="K44" s="24">
        <f>J44-I44</f>
        <v>-2.4000000000000057</v>
      </c>
      <c r="L44" s="10"/>
      <c r="M44" s="45">
        <f>M43+0.181</f>
        <v>-3.5958999999999999</v>
      </c>
    </row>
    <row r="45" spans="1:13" x14ac:dyDescent="0.2">
      <c r="A45" t="s">
        <v>170</v>
      </c>
      <c r="B45" t="s">
        <v>171</v>
      </c>
      <c r="C45" s="40">
        <v>43780</v>
      </c>
      <c r="D45" s="41" t="s">
        <v>21</v>
      </c>
      <c r="E45" s="42"/>
      <c r="F45">
        <v>151013</v>
      </c>
      <c r="G45">
        <v>522326</v>
      </c>
      <c r="H45" s="19">
        <v>2.2078000000000002</v>
      </c>
      <c r="I45" s="10"/>
      <c r="J45" s="10"/>
      <c r="K45" s="10"/>
      <c r="L45" s="10"/>
      <c r="M45" s="45">
        <v>2.2078000000000002</v>
      </c>
    </row>
    <row r="46" spans="1:13" x14ac:dyDescent="0.2">
      <c r="A46" t="s">
        <v>170</v>
      </c>
      <c r="B46" t="s">
        <v>171</v>
      </c>
      <c r="C46" s="40">
        <v>43780</v>
      </c>
      <c r="D46" s="41" t="s">
        <v>17</v>
      </c>
      <c r="E46" s="7">
        <v>19321</v>
      </c>
      <c r="F46" s="20"/>
      <c r="G46" s="20"/>
      <c r="H46" s="19">
        <f>1.2323-2.967</f>
        <v>-1.7347000000000001</v>
      </c>
      <c r="I46" s="10"/>
      <c r="J46" s="10"/>
      <c r="K46" s="10"/>
      <c r="L46" s="10"/>
      <c r="M46" s="45">
        <f>1.2198-2.967</f>
        <v>-1.7472000000000001</v>
      </c>
    </row>
    <row r="47" spans="1:13" x14ac:dyDescent="0.2">
      <c r="A47" t="s">
        <v>170</v>
      </c>
      <c r="B47" t="s">
        <v>171</v>
      </c>
      <c r="C47" s="40">
        <v>43802</v>
      </c>
      <c r="D47" s="41" t="s">
        <v>23</v>
      </c>
      <c r="E47" s="42"/>
      <c r="F47" s="20"/>
      <c r="G47" s="20"/>
      <c r="H47" s="10">
        <v>-3.7604000000000002</v>
      </c>
      <c r="I47" s="10"/>
      <c r="J47" s="10"/>
      <c r="K47" s="10"/>
      <c r="L47" s="10"/>
      <c r="M47" s="92" t="s">
        <v>174</v>
      </c>
    </row>
    <row r="48" spans="1:13" x14ac:dyDescent="0.2">
      <c r="A48" t="s">
        <v>170</v>
      </c>
      <c r="B48" t="s">
        <v>171</v>
      </c>
      <c r="C48" s="40">
        <v>43802</v>
      </c>
      <c r="D48" s="41" t="s">
        <v>15</v>
      </c>
      <c r="E48" s="7">
        <v>31027</v>
      </c>
      <c r="F48" s="20"/>
      <c r="G48" s="20"/>
      <c r="H48" s="19">
        <f>H47+0.181</f>
        <v>-3.5794000000000001</v>
      </c>
      <c r="I48" s="23">
        <v>130</v>
      </c>
      <c r="J48" s="14">
        <v>127.6</v>
      </c>
      <c r="K48" s="24">
        <f>J48-I48</f>
        <v>-2.4000000000000057</v>
      </c>
      <c r="L48" s="10"/>
      <c r="M48" s="52" t="s">
        <v>175</v>
      </c>
    </row>
    <row r="49" spans="1:13" x14ac:dyDescent="0.2">
      <c r="A49" t="s">
        <v>170</v>
      </c>
      <c r="B49" t="s">
        <v>171</v>
      </c>
      <c r="C49" s="40">
        <v>43802</v>
      </c>
      <c r="D49" s="41" t="s">
        <v>21</v>
      </c>
      <c r="E49" s="42"/>
      <c r="F49">
        <v>151013</v>
      </c>
      <c r="G49">
        <v>522326</v>
      </c>
      <c r="H49" s="19">
        <v>2.2078000000000002</v>
      </c>
      <c r="I49" s="10"/>
      <c r="J49" s="10"/>
      <c r="K49" s="10"/>
      <c r="L49" s="10"/>
      <c r="M49" s="45">
        <v>2.2071999999999998</v>
      </c>
    </row>
    <row r="50" spans="1:13" x14ac:dyDescent="0.2">
      <c r="A50" t="s">
        <v>170</v>
      </c>
      <c r="B50" t="s">
        <v>171</v>
      </c>
      <c r="C50" s="40">
        <v>43802</v>
      </c>
      <c r="D50" s="41" t="s">
        <v>17</v>
      </c>
      <c r="E50" s="7">
        <v>19321</v>
      </c>
      <c r="F50" s="20"/>
      <c r="G50" s="20"/>
      <c r="H50" s="19">
        <f>1.2323-2.967</f>
        <v>-1.7347000000000001</v>
      </c>
      <c r="I50" s="10"/>
      <c r="J50" s="10"/>
      <c r="K50" s="10"/>
      <c r="L50" s="10"/>
      <c r="M50" s="45">
        <f>1.2309-2.967</f>
        <v>-1.7361</v>
      </c>
    </row>
    <row r="51" spans="1:13" x14ac:dyDescent="0.2">
      <c r="A51" t="s">
        <v>170</v>
      </c>
      <c r="B51" t="s">
        <v>171</v>
      </c>
      <c r="C51" s="40">
        <v>43838</v>
      </c>
      <c r="D51" s="41" t="s">
        <v>23</v>
      </c>
      <c r="E51" s="42"/>
      <c r="F51" s="20"/>
      <c r="G51" s="20"/>
      <c r="H51" s="10">
        <v>-3.7604000000000002</v>
      </c>
      <c r="I51" s="10"/>
      <c r="J51" s="10"/>
      <c r="K51" s="10"/>
      <c r="L51" s="10"/>
      <c r="M51" s="92" t="s">
        <v>176</v>
      </c>
    </row>
    <row r="52" spans="1:13" x14ac:dyDescent="0.2">
      <c r="A52" t="s">
        <v>170</v>
      </c>
      <c r="B52" t="s">
        <v>171</v>
      </c>
      <c r="C52" s="40">
        <v>43838</v>
      </c>
      <c r="D52" s="41" t="s">
        <v>15</v>
      </c>
      <c r="E52" s="7">
        <v>31027</v>
      </c>
      <c r="F52" s="20"/>
      <c r="G52" s="20"/>
      <c r="H52" s="19">
        <f>H51+0.181</f>
        <v>-3.5794000000000001</v>
      </c>
      <c r="I52" s="23">
        <v>130</v>
      </c>
      <c r="J52" s="14">
        <v>127.6</v>
      </c>
      <c r="K52" s="24">
        <f>J52-I52</f>
        <v>-2.4000000000000057</v>
      </c>
      <c r="L52" s="10"/>
      <c r="M52" s="52"/>
    </row>
    <row r="53" spans="1:13" x14ac:dyDescent="0.2">
      <c r="A53" t="s">
        <v>170</v>
      </c>
      <c r="B53" t="s">
        <v>171</v>
      </c>
      <c r="C53" s="40">
        <v>43838</v>
      </c>
      <c r="D53" s="41" t="s">
        <v>21</v>
      </c>
      <c r="E53" s="42"/>
      <c r="F53">
        <v>151013</v>
      </c>
      <c r="G53">
        <v>522326</v>
      </c>
      <c r="H53" s="19">
        <v>2.1953999999999998</v>
      </c>
      <c r="I53" s="10"/>
      <c r="J53" s="10"/>
      <c r="K53" s="10"/>
      <c r="L53" s="10"/>
      <c r="M53" s="45">
        <v>2.1953999999999998</v>
      </c>
    </row>
    <row r="54" spans="1:13" x14ac:dyDescent="0.2">
      <c r="A54" t="s">
        <v>170</v>
      </c>
      <c r="B54" t="s">
        <v>171</v>
      </c>
      <c r="C54" s="40">
        <v>43838</v>
      </c>
      <c r="D54" s="41" t="s">
        <v>17</v>
      </c>
      <c r="E54" s="7">
        <v>19321</v>
      </c>
      <c r="F54" s="20"/>
      <c r="G54" s="20"/>
      <c r="H54" s="73">
        <f>1.22-2.967</f>
        <v>-1.7470000000000001</v>
      </c>
      <c r="I54" s="10"/>
      <c r="J54" s="10"/>
      <c r="K54" s="10"/>
      <c r="L54" s="10"/>
      <c r="M54" s="45" t="s">
        <v>177</v>
      </c>
    </row>
    <row r="55" spans="1:13" x14ac:dyDescent="0.2">
      <c r="A55" t="s">
        <v>170</v>
      </c>
      <c r="B55" t="s">
        <v>171</v>
      </c>
      <c r="C55" s="40">
        <v>43858</v>
      </c>
      <c r="D55" s="41" t="s">
        <v>23</v>
      </c>
      <c r="E55" s="42"/>
      <c r="F55" s="20"/>
      <c r="G55" s="20"/>
      <c r="H55" s="10">
        <v>-3.7604000000000002</v>
      </c>
      <c r="I55" s="10"/>
      <c r="J55" s="10"/>
      <c r="K55" s="10"/>
      <c r="L55" s="10"/>
      <c r="M55" s="92" t="s">
        <v>178</v>
      </c>
    </row>
    <row r="56" spans="1:13" x14ac:dyDescent="0.2">
      <c r="A56" t="s">
        <v>170</v>
      </c>
      <c r="B56" t="s">
        <v>171</v>
      </c>
      <c r="C56" s="40">
        <v>43858</v>
      </c>
      <c r="D56" s="41" t="s">
        <v>15</v>
      </c>
      <c r="E56" s="7">
        <v>31027</v>
      </c>
      <c r="F56" s="20"/>
      <c r="G56" s="20"/>
      <c r="H56" s="19">
        <f>H55+0.181</f>
        <v>-3.5794000000000001</v>
      </c>
      <c r="I56" s="23">
        <v>130</v>
      </c>
      <c r="J56" s="14">
        <v>127.6</v>
      </c>
      <c r="K56" s="24">
        <f>J56-I56</f>
        <v>-2.4000000000000057</v>
      </c>
      <c r="L56" s="10"/>
      <c r="M56" s="52"/>
    </row>
    <row r="57" spans="1:13" x14ac:dyDescent="0.2">
      <c r="A57" t="s">
        <v>170</v>
      </c>
      <c r="B57" t="s">
        <v>171</v>
      </c>
      <c r="C57" s="40">
        <v>43858</v>
      </c>
      <c r="D57" s="41" t="s">
        <v>21</v>
      </c>
      <c r="E57" s="42"/>
      <c r="F57">
        <v>151013</v>
      </c>
      <c r="G57">
        <v>522326</v>
      </c>
      <c r="H57" s="19">
        <v>2.1953999999999998</v>
      </c>
      <c r="I57" s="10"/>
      <c r="J57" s="10"/>
      <c r="K57" s="10"/>
      <c r="L57" s="10"/>
      <c r="M57" s="45">
        <v>2.1775000000000002</v>
      </c>
    </row>
    <row r="58" spans="1:13" x14ac:dyDescent="0.2">
      <c r="A58" t="s">
        <v>170</v>
      </c>
      <c r="B58" t="s">
        <v>171</v>
      </c>
      <c r="C58" s="40">
        <v>43858</v>
      </c>
      <c r="D58" s="41" t="s">
        <v>17</v>
      </c>
      <c r="E58" s="7">
        <v>19321</v>
      </c>
      <c r="F58" s="20"/>
      <c r="G58" s="20"/>
      <c r="H58" s="19">
        <f>1.22-2.967</f>
        <v>-1.7470000000000001</v>
      </c>
      <c r="I58" s="10"/>
      <c r="J58" s="10"/>
      <c r="K58" s="10"/>
      <c r="L58" s="10"/>
      <c r="M58" s="45" t="s">
        <v>179</v>
      </c>
    </row>
    <row r="59" spans="1:13" x14ac:dyDescent="0.2">
      <c r="A59" t="s">
        <v>170</v>
      </c>
      <c r="B59" t="s">
        <v>171</v>
      </c>
      <c r="C59" s="40">
        <v>43888</v>
      </c>
      <c r="D59" s="41" t="s">
        <v>23</v>
      </c>
      <c r="E59" s="42"/>
      <c r="F59" s="20"/>
      <c r="G59" s="20"/>
      <c r="H59" s="10">
        <v>-3.7376</v>
      </c>
      <c r="I59" s="10"/>
      <c r="J59" s="10"/>
      <c r="K59" s="10"/>
      <c r="L59" s="10"/>
      <c r="M59" s="74" t="s">
        <v>180</v>
      </c>
    </row>
    <row r="60" spans="1:13" x14ac:dyDescent="0.2">
      <c r="A60" t="s">
        <v>170</v>
      </c>
      <c r="B60" t="s">
        <v>171</v>
      </c>
      <c r="C60" s="40">
        <v>43888</v>
      </c>
      <c r="D60" s="41" t="s">
        <v>15</v>
      </c>
      <c r="E60" s="7">
        <v>31027</v>
      </c>
      <c r="F60" s="20"/>
      <c r="G60" s="20"/>
      <c r="H60" s="19">
        <v>-3.5794000000000001</v>
      </c>
      <c r="I60" s="23">
        <v>130</v>
      </c>
      <c r="J60" s="14">
        <v>127.6</v>
      </c>
      <c r="K60" s="24">
        <f>J60-I60</f>
        <v>-2.4000000000000057</v>
      </c>
      <c r="L60" s="10"/>
      <c r="M60" s="52"/>
    </row>
    <row r="61" spans="1:13" x14ac:dyDescent="0.2">
      <c r="A61" t="s">
        <v>170</v>
      </c>
      <c r="B61" t="s">
        <v>171</v>
      </c>
      <c r="C61" s="40">
        <v>43888</v>
      </c>
      <c r="D61" s="41" t="s">
        <v>21</v>
      </c>
      <c r="E61" s="42"/>
      <c r="F61">
        <v>151013</v>
      </c>
      <c r="G61">
        <v>522326</v>
      </c>
      <c r="H61" s="19">
        <v>2.1953999999999998</v>
      </c>
      <c r="I61" s="10"/>
      <c r="J61" s="10"/>
      <c r="K61" s="10"/>
      <c r="L61" s="10"/>
      <c r="M61" s="45">
        <v>2.2254</v>
      </c>
    </row>
    <row r="62" spans="1:13" x14ac:dyDescent="0.2">
      <c r="A62" t="s">
        <v>170</v>
      </c>
      <c r="B62" t="s">
        <v>171</v>
      </c>
      <c r="C62" s="40">
        <v>43888</v>
      </c>
      <c r="D62" s="41" t="s">
        <v>17</v>
      </c>
      <c r="E62" s="7">
        <v>19321</v>
      </c>
      <c r="F62" s="20"/>
      <c r="G62" s="20"/>
      <c r="H62" s="73">
        <v>-1.7315999999999998</v>
      </c>
      <c r="I62" s="10"/>
      <c r="J62" s="10"/>
      <c r="K62" s="10"/>
      <c r="L62" s="10"/>
      <c r="M62" s="45">
        <f>1.2351-2.9667</f>
        <v>-1.7315999999999998</v>
      </c>
    </row>
    <row r="63" spans="1:13" x14ac:dyDescent="0.2">
      <c r="A63" t="s">
        <v>170</v>
      </c>
      <c r="B63" t="s">
        <v>171</v>
      </c>
      <c r="C63" s="40">
        <v>43914</v>
      </c>
      <c r="D63" s="41" t="s">
        <v>23</v>
      </c>
      <c r="E63" s="42"/>
      <c r="F63" s="20"/>
      <c r="G63" s="20"/>
      <c r="H63" s="108">
        <v>-3.7538999999999998</v>
      </c>
      <c r="I63" s="10"/>
      <c r="J63" s="10"/>
      <c r="K63" s="10"/>
      <c r="L63" s="10"/>
      <c r="M63" s="74">
        <v>-3.7538999999999998</v>
      </c>
    </row>
    <row r="64" spans="1:13" x14ac:dyDescent="0.2">
      <c r="A64" t="s">
        <v>170</v>
      </c>
      <c r="B64" t="s">
        <v>171</v>
      </c>
      <c r="C64" s="40">
        <v>43914</v>
      </c>
      <c r="D64" s="41" t="s">
        <v>15</v>
      </c>
      <c r="E64" s="7">
        <v>31027</v>
      </c>
      <c r="F64" s="20"/>
      <c r="G64" s="20"/>
      <c r="H64" s="19">
        <v>-3.5794000000000001</v>
      </c>
      <c r="I64" s="23">
        <v>130</v>
      </c>
      <c r="J64" s="14">
        <v>127.6</v>
      </c>
      <c r="K64" s="24">
        <f>J64-I64</f>
        <v>-2.4000000000000057</v>
      </c>
      <c r="L64" s="10"/>
      <c r="M64" s="50" t="s">
        <v>42</v>
      </c>
    </row>
    <row r="65" spans="1:13" x14ac:dyDescent="0.2">
      <c r="A65" t="s">
        <v>170</v>
      </c>
      <c r="B65" t="s">
        <v>171</v>
      </c>
      <c r="C65" s="40">
        <v>43914</v>
      </c>
      <c r="D65" s="41" t="s">
        <v>21</v>
      </c>
      <c r="E65" s="42"/>
      <c r="F65">
        <v>151013</v>
      </c>
      <c r="G65">
        <v>522326</v>
      </c>
      <c r="H65" s="19">
        <v>2.1953999999999998</v>
      </c>
      <c r="I65" s="10"/>
      <c r="J65" s="10"/>
      <c r="K65" s="10"/>
      <c r="L65" s="10"/>
      <c r="M65" s="45">
        <v>2.2018</v>
      </c>
    </row>
    <row r="66" spans="1:13" x14ac:dyDescent="0.2">
      <c r="A66" t="s">
        <v>170</v>
      </c>
      <c r="B66" t="s">
        <v>171</v>
      </c>
      <c r="C66" s="40">
        <v>43914</v>
      </c>
      <c r="D66" s="41" t="s">
        <v>17</v>
      </c>
      <c r="E66" s="7">
        <v>19321</v>
      </c>
      <c r="F66" s="20"/>
      <c r="G66" s="20"/>
      <c r="H66" s="19">
        <v>-1.7315999999999998</v>
      </c>
      <c r="I66" s="10"/>
      <c r="J66" s="10"/>
      <c r="K66" s="10"/>
      <c r="L66" s="10"/>
      <c r="M66" s="45">
        <f>1.2261-2.9667</f>
        <v>-1.7405999999999999</v>
      </c>
    </row>
    <row r="67" spans="1:13" x14ac:dyDescent="0.2">
      <c r="A67" t="s">
        <v>170</v>
      </c>
      <c r="B67" t="s">
        <v>171</v>
      </c>
      <c r="C67" s="40">
        <v>43944</v>
      </c>
      <c r="D67" s="41" t="s">
        <v>23</v>
      </c>
      <c r="E67" s="42"/>
      <c r="F67" s="20"/>
      <c r="G67" s="20"/>
      <c r="H67" s="108">
        <v>-3.7928999999999999</v>
      </c>
      <c r="I67" s="10"/>
      <c r="J67" s="10"/>
      <c r="K67" s="10"/>
      <c r="L67" s="10"/>
      <c r="M67" s="74">
        <v>-3.7928999999999999</v>
      </c>
    </row>
    <row r="68" spans="1:13" x14ac:dyDescent="0.2">
      <c r="A68" t="s">
        <v>170</v>
      </c>
      <c r="B68" t="s">
        <v>171</v>
      </c>
      <c r="C68" s="40">
        <v>43944</v>
      </c>
      <c r="D68" s="41" t="s">
        <v>15</v>
      </c>
      <c r="E68" s="7">
        <v>31027</v>
      </c>
      <c r="F68" s="20"/>
      <c r="G68" s="20"/>
      <c r="H68" s="19">
        <v>-3.5794000000000001</v>
      </c>
      <c r="I68" s="23">
        <v>130</v>
      </c>
      <c r="J68" s="14">
        <v>127.6</v>
      </c>
      <c r="K68" s="24">
        <f>J68-I68</f>
        <v>-2.4000000000000057</v>
      </c>
      <c r="L68" s="10"/>
      <c r="M68" s="50" t="s">
        <v>42</v>
      </c>
    </row>
    <row r="69" spans="1:13" x14ac:dyDescent="0.2">
      <c r="A69" t="s">
        <v>170</v>
      </c>
      <c r="B69" t="s">
        <v>171</v>
      </c>
      <c r="C69" s="40">
        <v>43944</v>
      </c>
      <c r="D69" s="41" t="s">
        <v>21</v>
      </c>
      <c r="E69" s="42"/>
      <c r="F69">
        <v>151013</v>
      </c>
      <c r="G69">
        <v>522326</v>
      </c>
      <c r="H69" s="19">
        <v>2.1953999999999998</v>
      </c>
      <c r="I69" s="10"/>
      <c r="J69" s="10"/>
      <c r="K69" s="10"/>
      <c r="L69" s="10"/>
      <c r="M69" s="45">
        <v>2.1998000000000002</v>
      </c>
    </row>
    <row r="70" spans="1:13" x14ac:dyDescent="0.2">
      <c r="A70" t="s">
        <v>170</v>
      </c>
      <c r="B70" t="s">
        <v>171</v>
      </c>
      <c r="C70" s="40">
        <v>43944</v>
      </c>
      <c r="D70" s="41" t="s">
        <v>17</v>
      </c>
      <c r="E70" s="7">
        <v>19321</v>
      </c>
      <c r="F70" s="20"/>
      <c r="G70" s="20"/>
      <c r="H70" s="53">
        <f>1.1978-2.9667</f>
        <v>-1.7688999999999999</v>
      </c>
      <c r="I70" s="10"/>
      <c r="J70" s="10"/>
      <c r="K70" s="10"/>
      <c r="L70" s="10"/>
      <c r="M70" s="45">
        <f>1.1978-2.9667</f>
        <v>-1.7688999999999999</v>
      </c>
    </row>
    <row r="71" spans="1:13" x14ac:dyDescent="0.2">
      <c r="A71" t="s">
        <v>170</v>
      </c>
      <c r="B71" t="s">
        <v>171</v>
      </c>
      <c r="C71" s="40">
        <v>43970</v>
      </c>
      <c r="D71" s="41" t="s">
        <v>23</v>
      </c>
      <c r="E71" s="42"/>
      <c r="F71" s="20"/>
      <c r="G71" s="20"/>
      <c r="H71" s="108">
        <v>-3.73</v>
      </c>
      <c r="I71" s="10"/>
      <c r="J71" s="10"/>
      <c r="K71" s="10"/>
      <c r="L71" s="10"/>
      <c r="M71" s="74">
        <v>-3.73</v>
      </c>
    </row>
    <row r="72" spans="1:13" x14ac:dyDescent="0.2">
      <c r="A72" t="s">
        <v>170</v>
      </c>
      <c r="B72" t="s">
        <v>171</v>
      </c>
      <c r="C72" s="40">
        <v>43970</v>
      </c>
      <c r="D72" s="41" t="s">
        <v>15</v>
      </c>
      <c r="E72" s="7">
        <v>31027</v>
      </c>
      <c r="F72" s="20"/>
      <c r="G72" s="20"/>
      <c r="H72" s="19">
        <v>-3.5794000000000001</v>
      </c>
      <c r="I72" s="23">
        <v>130</v>
      </c>
      <c r="J72" s="14">
        <v>127.6</v>
      </c>
      <c r="K72" s="24">
        <f>J72-I72</f>
        <v>-2.4000000000000057</v>
      </c>
      <c r="L72" s="10"/>
      <c r="M72" s="50" t="s">
        <v>42</v>
      </c>
    </row>
    <row r="73" spans="1:13" x14ac:dyDescent="0.2">
      <c r="A73" t="s">
        <v>170</v>
      </c>
      <c r="B73" t="s">
        <v>171</v>
      </c>
      <c r="C73" s="40">
        <v>43970</v>
      </c>
      <c r="D73" s="41" t="s">
        <v>21</v>
      </c>
      <c r="E73" s="42"/>
      <c r="F73">
        <v>151013</v>
      </c>
      <c r="G73">
        <v>522326</v>
      </c>
      <c r="H73" s="19">
        <v>2.1953999999999998</v>
      </c>
      <c r="I73" s="10"/>
      <c r="J73" s="10"/>
      <c r="K73" s="10"/>
      <c r="L73" s="10"/>
      <c r="M73" s="45">
        <v>2.2107000000000001</v>
      </c>
    </row>
    <row r="74" spans="1:13" x14ac:dyDescent="0.2">
      <c r="A74" t="s">
        <v>170</v>
      </c>
      <c r="B74" t="s">
        <v>171</v>
      </c>
      <c r="C74" s="40">
        <v>43970</v>
      </c>
      <c r="D74" s="41" t="s">
        <v>17</v>
      </c>
      <c r="E74" s="7">
        <v>19321</v>
      </c>
      <c r="F74" s="20"/>
      <c r="G74" s="20"/>
      <c r="H74" s="53">
        <v>-1.7387999999999999</v>
      </c>
      <c r="I74" s="10"/>
      <c r="J74" s="10"/>
      <c r="K74" s="10"/>
      <c r="L74" s="10"/>
      <c r="M74" s="75" t="s">
        <v>181</v>
      </c>
    </row>
    <row r="75" spans="1:13" x14ac:dyDescent="0.2">
      <c r="A75" t="s">
        <v>170</v>
      </c>
      <c r="B75" t="s">
        <v>171</v>
      </c>
      <c r="C75" s="40">
        <v>43998</v>
      </c>
      <c r="D75" s="41" t="s">
        <v>23</v>
      </c>
      <c r="E75" s="42"/>
      <c r="F75" s="20"/>
      <c r="G75" s="20"/>
      <c r="H75" s="108">
        <v>-3.8336000000000001</v>
      </c>
      <c r="I75" s="10"/>
      <c r="J75" s="10"/>
      <c r="K75" s="10"/>
      <c r="L75" s="10"/>
      <c r="M75" s="74">
        <v>-3.8336000000000001</v>
      </c>
    </row>
    <row r="76" spans="1:13" x14ac:dyDescent="0.2">
      <c r="A76" t="s">
        <v>170</v>
      </c>
      <c r="B76" t="s">
        <v>171</v>
      </c>
      <c r="C76" s="40">
        <v>43998</v>
      </c>
      <c r="D76" s="41" t="s">
        <v>15</v>
      </c>
      <c r="E76" s="7">
        <v>31027</v>
      </c>
      <c r="F76" s="20"/>
      <c r="G76" s="20"/>
      <c r="H76" s="19">
        <v>-3.5794000000000001</v>
      </c>
      <c r="I76" s="23">
        <v>130</v>
      </c>
      <c r="J76" s="14">
        <v>127.6</v>
      </c>
      <c r="K76" s="24">
        <f>J76-I76</f>
        <v>-2.4000000000000057</v>
      </c>
      <c r="L76" s="10"/>
      <c r="M76" s="50" t="s">
        <v>42</v>
      </c>
    </row>
    <row r="77" spans="1:13" x14ac:dyDescent="0.2">
      <c r="A77" t="s">
        <v>170</v>
      </c>
      <c r="B77" t="s">
        <v>171</v>
      </c>
      <c r="C77" s="40">
        <v>43998</v>
      </c>
      <c r="D77" s="41" t="s">
        <v>21</v>
      </c>
      <c r="E77" s="42"/>
      <c r="F77">
        <v>151013</v>
      </c>
      <c r="G77">
        <v>522326</v>
      </c>
      <c r="H77" s="19">
        <v>2.2063999999999999</v>
      </c>
      <c r="I77" s="10"/>
      <c r="J77" s="10"/>
      <c r="K77" s="10"/>
      <c r="L77" s="10"/>
      <c r="M77" s="45">
        <v>2.2063999999999999</v>
      </c>
    </row>
    <row r="78" spans="1:13" x14ac:dyDescent="0.2">
      <c r="A78" t="s">
        <v>170</v>
      </c>
      <c r="B78" t="s">
        <v>171</v>
      </c>
      <c r="C78" s="40">
        <v>43998</v>
      </c>
      <c r="D78" s="41" t="s">
        <v>17</v>
      </c>
      <c r="E78" s="7">
        <v>19321</v>
      </c>
      <c r="F78" s="20"/>
      <c r="G78" s="20"/>
      <c r="H78" s="53">
        <v>-1.7387999999999999</v>
      </c>
      <c r="I78" s="10"/>
      <c r="J78" s="10"/>
      <c r="K78" s="10"/>
      <c r="L78" s="10"/>
      <c r="M78" s="74" t="b">
        <f>M94=1.2339-2.967</f>
        <v>0</v>
      </c>
    </row>
    <row r="79" spans="1:13" x14ac:dyDescent="0.2">
      <c r="A79" t="s">
        <v>170</v>
      </c>
      <c r="B79" t="s">
        <v>171</v>
      </c>
      <c r="C79" s="40">
        <v>44027</v>
      </c>
      <c r="D79" s="41" t="s">
        <v>23</v>
      </c>
      <c r="E79" s="42"/>
      <c r="F79" s="20"/>
      <c r="G79" s="20"/>
      <c r="H79" s="108">
        <v>-3.8336000000000001</v>
      </c>
      <c r="I79" s="10"/>
      <c r="J79" s="10"/>
      <c r="K79" s="10"/>
      <c r="L79" s="10"/>
      <c r="M79" s="74">
        <v>-3.7732000000000001</v>
      </c>
    </row>
    <row r="80" spans="1:13" x14ac:dyDescent="0.2">
      <c r="A80" t="s">
        <v>170</v>
      </c>
      <c r="B80" t="s">
        <v>171</v>
      </c>
      <c r="C80" s="40">
        <v>44027</v>
      </c>
      <c r="D80" s="41" t="s">
        <v>15</v>
      </c>
      <c r="E80" s="7">
        <v>31027</v>
      </c>
      <c r="F80" s="20"/>
      <c r="G80" s="20"/>
      <c r="H80" s="19">
        <v>-3.5794000000000001</v>
      </c>
      <c r="I80" s="23">
        <v>130</v>
      </c>
      <c r="J80" s="14">
        <v>127.6</v>
      </c>
      <c r="K80" s="24">
        <f>J80-I80</f>
        <v>-2.4000000000000057</v>
      </c>
      <c r="L80" s="10"/>
      <c r="M80" s="50" t="s">
        <v>42</v>
      </c>
    </row>
    <row r="81" spans="1:13" x14ac:dyDescent="0.2">
      <c r="A81" t="s">
        <v>170</v>
      </c>
      <c r="B81" t="s">
        <v>171</v>
      </c>
      <c r="C81" s="40">
        <v>44027</v>
      </c>
      <c r="D81" s="41" t="s">
        <v>21</v>
      </c>
      <c r="E81" s="42"/>
      <c r="F81">
        <v>151013</v>
      </c>
      <c r="G81">
        <v>522326</v>
      </c>
      <c r="H81" s="19">
        <v>2.2063999999999999</v>
      </c>
      <c r="I81" s="10"/>
      <c r="J81" s="10"/>
      <c r="K81" s="10"/>
      <c r="L81" s="10"/>
      <c r="M81" s="45">
        <v>2.2151000000000001</v>
      </c>
    </row>
    <row r="82" spans="1:13" x14ac:dyDescent="0.2">
      <c r="A82" t="s">
        <v>170</v>
      </c>
      <c r="B82" t="s">
        <v>171</v>
      </c>
      <c r="C82" s="40">
        <v>44027</v>
      </c>
      <c r="D82" s="41" t="s">
        <v>17</v>
      </c>
      <c r="E82" s="7">
        <v>19321</v>
      </c>
      <c r="F82" s="20"/>
      <c r="G82" s="20"/>
      <c r="H82" s="108">
        <v>-1.7387999999999999</v>
      </c>
      <c r="I82" s="10"/>
      <c r="J82" s="10"/>
      <c r="K82" s="10"/>
      <c r="L82" s="10"/>
      <c r="M82" s="136" t="s">
        <v>182</v>
      </c>
    </row>
    <row r="83" spans="1:13" x14ac:dyDescent="0.2">
      <c r="A83" t="s">
        <v>170</v>
      </c>
      <c r="B83" t="s">
        <v>171</v>
      </c>
      <c r="C83" s="5">
        <v>44054</v>
      </c>
      <c r="D83" t="s">
        <v>23</v>
      </c>
      <c r="E83" s="7"/>
      <c r="F83"/>
      <c r="G83"/>
      <c r="H83" s="37">
        <v>-3.83</v>
      </c>
      <c r="I83" s="10"/>
      <c r="J83" s="10"/>
      <c r="K83" s="10"/>
      <c r="L83" s="10"/>
      <c r="M83" s="51">
        <v>-3.9</v>
      </c>
    </row>
    <row r="84" spans="1:13" ht="12.75" customHeight="1" x14ac:dyDescent="0.2">
      <c r="A84" t="s">
        <v>170</v>
      </c>
      <c r="B84" t="s">
        <v>171</v>
      </c>
      <c r="C84" s="5">
        <v>44054</v>
      </c>
      <c r="D84" t="s">
        <v>15</v>
      </c>
      <c r="E84" s="7">
        <v>31027</v>
      </c>
      <c r="F84"/>
      <c r="G84"/>
      <c r="H84" s="37">
        <v>-3.58</v>
      </c>
      <c r="I84" s="23">
        <v>130</v>
      </c>
      <c r="J84" s="14">
        <v>127.6</v>
      </c>
      <c r="K84" s="24">
        <f>J84-I84</f>
        <v>-2.4000000000000057</v>
      </c>
      <c r="L84" s="10"/>
      <c r="M84" s="51" t="s">
        <v>42</v>
      </c>
    </row>
    <row r="85" spans="1:13" ht="12.75" customHeight="1" x14ac:dyDescent="0.2">
      <c r="A85" t="s">
        <v>170</v>
      </c>
      <c r="B85" t="s">
        <v>171</v>
      </c>
      <c r="C85" s="5">
        <v>44054</v>
      </c>
      <c r="D85" t="s">
        <v>21</v>
      </c>
      <c r="E85" s="7"/>
      <c r="F85">
        <v>151013</v>
      </c>
      <c r="G85">
        <v>522326</v>
      </c>
      <c r="H85" s="37">
        <v>2.21</v>
      </c>
      <c r="I85" s="10"/>
      <c r="J85" s="10"/>
      <c r="K85" s="10"/>
      <c r="L85" s="10"/>
      <c r="M85" s="51">
        <v>2.1800000000000002</v>
      </c>
    </row>
    <row r="86" spans="1:13" x14ac:dyDescent="0.2">
      <c r="A86" t="s">
        <v>170</v>
      </c>
      <c r="B86" t="s">
        <v>171</v>
      </c>
      <c r="C86" s="5">
        <v>44054</v>
      </c>
      <c r="D86" t="s">
        <v>17</v>
      </c>
      <c r="E86" s="7">
        <v>19321</v>
      </c>
      <c r="F86"/>
      <c r="G86"/>
      <c r="H86" s="37">
        <v>-1.74</v>
      </c>
      <c r="I86" s="10"/>
      <c r="J86" s="10"/>
      <c r="K86" s="10"/>
      <c r="L86" s="10"/>
      <c r="M86" s="51">
        <v>-1.73</v>
      </c>
    </row>
    <row r="87" spans="1:13" x14ac:dyDescent="0.2">
      <c r="A87" t="s">
        <v>170</v>
      </c>
      <c r="B87" t="s">
        <v>171</v>
      </c>
      <c r="C87" s="5">
        <v>44082</v>
      </c>
      <c r="D87" t="s">
        <v>23</v>
      </c>
      <c r="E87" s="7"/>
      <c r="F87"/>
      <c r="G87"/>
      <c r="H87" s="37">
        <v>-3.83</v>
      </c>
      <c r="I87" s="10"/>
      <c r="J87" s="10"/>
      <c r="K87" s="10"/>
      <c r="L87" s="10"/>
      <c r="M87" s="51">
        <v>-3.7930000000000001</v>
      </c>
    </row>
    <row r="88" spans="1:13" x14ac:dyDescent="0.2">
      <c r="A88" t="s">
        <v>170</v>
      </c>
      <c r="B88" t="s">
        <v>171</v>
      </c>
      <c r="C88" s="5">
        <v>44082</v>
      </c>
      <c r="D88" t="s">
        <v>15</v>
      </c>
      <c r="E88" s="7">
        <v>31027</v>
      </c>
      <c r="F88"/>
      <c r="G88"/>
      <c r="H88" s="37">
        <v>-3.58</v>
      </c>
      <c r="I88" s="23">
        <v>130</v>
      </c>
      <c r="J88" s="14">
        <v>127.6</v>
      </c>
      <c r="K88" s="24">
        <f>J88-I88</f>
        <v>-2.4000000000000057</v>
      </c>
      <c r="L88" s="10"/>
      <c r="M88" s="51" t="s">
        <v>42</v>
      </c>
    </row>
    <row r="89" spans="1:13" x14ac:dyDescent="0.2">
      <c r="A89" t="s">
        <v>170</v>
      </c>
      <c r="B89" t="s">
        <v>171</v>
      </c>
      <c r="C89" s="5">
        <v>44082</v>
      </c>
      <c r="D89" t="s">
        <v>21</v>
      </c>
      <c r="E89" s="7"/>
      <c r="F89">
        <v>151013</v>
      </c>
      <c r="G89">
        <v>522326</v>
      </c>
      <c r="H89" s="37">
        <v>2.2244999999999999</v>
      </c>
      <c r="I89" s="10"/>
      <c r="J89" s="10"/>
      <c r="K89" s="10"/>
      <c r="L89" s="10"/>
      <c r="M89" s="51">
        <v>2.2244999999999999</v>
      </c>
    </row>
    <row r="90" spans="1:13" x14ac:dyDescent="0.2">
      <c r="A90" t="s">
        <v>170</v>
      </c>
      <c r="B90" t="s">
        <v>171</v>
      </c>
      <c r="C90" s="5">
        <v>44082</v>
      </c>
      <c r="D90" t="s">
        <v>17</v>
      </c>
      <c r="E90" s="7">
        <v>19321</v>
      </c>
      <c r="F90"/>
      <c r="G90"/>
      <c r="H90" s="37">
        <v>-1.74</v>
      </c>
      <c r="I90" s="10"/>
      <c r="J90" s="10"/>
      <c r="K90" s="10"/>
      <c r="L90" s="10"/>
      <c r="M90" s="106" t="s">
        <v>204</v>
      </c>
    </row>
    <row r="91" spans="1:13" x14ac:dyDescent="0.2">
      <c r="A91" t="s">
        <v>170</v>
      </c>
      <c r="B91" t="s">
        <v>171</v>
      </c>
      <c r="C91" s="5">
        <v>44138</v>
      </c>
      <c r="D91" t="s">
        <v>23</v>
      </c>
      <c r="E91" s="7"/>
      <c r="F91"/>
      <c r="G91"/>
      <c r="H91" s="37">
        <v>-3.83</v>
      </c>
      <c r="I91" s="10"/>
      <c r="J91" s="10"/>
      <c r="K91" s="10"/>
      <c r="L91" s="10"/>
      <c r="M91" s="51">
        <v>-3.8176000000000001</v>
      </c>
    </row>
    <row r="92" spans="1:13" x14ac:dyDescent="0.2">
      <c r="A92" t="s">
        <v>170</v>
      </c>
      <c r="B92" t="s">
        <v>171</v>
      </c>
      <c r="C92" s="5">
        <v>44138</v>
      </c>
      <c r="D92" t="s">
        <v>15</v>
      </c>
      <c r="E92" s="7">
        <v>31027</v>
      </c>
      <c r="F92"/>
      <c r="G92"/>
      <c r="H92" s="37">
        <v>-3.58</v>
      </c>
      <c r="I92" s="23">
        <v>130</v>
      </c>
      <c r="J92" s="14">
        <v>127.6</v>
      </c>
      <c r="K92" s="24">
        <f>J92-I92</f>
        <v>-2.4000000000000057</v>
      </c>
      <c r="L92" s="10"/>
      <c r="M92" s="51" t="s">
        <v>42</v>
      </c>
    </row>
    <row r="93" spans="1:13" x14ac:dyDescent="0.2">
      <c r="A93" t="s">
        <v>170</v>
      </c>
      <c r="B93" t="s">
        <v>171</v>
      </c>
      <c r="C93" s="5">
        <v>44138</v>
      </c>
      <c r="D93" t="s">
        <v>21</v>
      </c>
      <c r="E93" s="7"/>
      <c r="F93">
        <v>151013</v>
      </c>
      <c r="G93">
        <v>522326</v>
      </c>
      <c r="H93" s="37">
        <v>2.2244999999999999</v>
      </c>
      <c r="I93" s="10"/>
      <c r="J93" s="10"/>
      <c r="K93" s="10"/>
      <c r="L93" s="10"/>
      <c r="M93" s="51">
        <v>2.1981000000000002</v>
      </c>
    </row>
    <row r="94" spans="1:13" x14ac:dyDescent="0.2">
      <c r="A94" t="s">
        <v>170</v>
      </c>
      <c r="B94" t="s">
        <v>171</v>
      </c>
      <c r="C94" s="5">
        <v>44138</v>
      </c>
      <c r="D94" t="s">
        <v>17</v>
      </c>
      <c r="E94" s="7">
        <v>19321</v>
      </c>
      <c r="F94"/>
      <c r="G94"/>
      <c r="H94" s="37">
        <v>-1.74</v>
      </c>
      <c r="I94" s="10"/>
      <c r="J94" s="10"/>
      <c r="K94" s="10"/>
      <c r="L94" s="10"/>
      <c r="M94" s="75">
        <f>1.2235-2.967</f>
        <v>-1.7435</v>
      </c>
    </row>
    <row r="95" spans="1:13" x14ac:dyDescent="0.2">
      <c r="A95" t="s">
        <v>170</v>
      </c>
      <c r="B95" t="s">
        <v>171</v>
      </c>
      <c r="C95" s="5">
        <v>44167</v>
      </c>
      <c r="D95" t="s">
        <v>23</v>
      </c>
      <c r="E95" s="7"/>
      <c r="F95"/>
      <c r="G95"/>
      <c r="H95" s="37">
        <v>-3.83</v>
      </c>
      <c r="I95" s="10"/>
      <c r="J95" s="10"/>
      <c r="K95" s="10"/>
      <c r="L95" s="10"/>
      <c r="M95" s="139">
        <v>-3.7557</v>
      </c>
    </row>
    <row r="96" spans="1:13" x14ac:dyDescent="0.2">
      <c r="A96" t="s">
        <v>170</v>
      </c>
      <c r="B96" t="s">
        <v>171</v>
      </c>
      <c r="C96" s="5">
        <v>44167</v>
      </c>
      <c r="D96" t="s">
        <v>15</v>
      </c>
      <c r="E96" s="7">
        <v>31027</v>
      </c>
      <c r="F96"/>
      <c r="G96"/>
      <c r="H96" s="37">
        <v>-3.58</v>
      </c>
      <c r="I96" s="23">
        <v>130</v>
      </c>
      <c r="J96" s="14">
        <v>127.6</v>
      </c>
      <c r="K96" s="24">
        <f>J96-I96</f>
        <v>-2.4000000000000057</v>
      </c>
      <c r="L96" s="10"/>
      <c r="M96" s="51" t="s">
        <v>42</v>
      </c>
    </row>
    <row r="97" spans="1:14" x14ac:dyDescent="0.2">
      <c r="A97" t="s">
        <v>170</v>
      </c>
      <c r="B97" t="s">
        <v>171</v>
      </c>
      <c r="C97" s="5">
        <v>44167</v>
      </c>
      <c r="D97" t="s">
        <v>21</v>
      </c>
      <c r="E97" s="7"/>
      <c r="F97">
        <v>151013</v>
      </c>
      <c r="G97">
        <v>522326</v>
      </c>
      <c r="H97" s="37">
        <v>2.1934</v>
      </c>
      <c r="I97" s="10"/>
      <c r="J97" s="10"/>
      <c r="K97" s="10"/>
      <c r="L97" s="10"/>
      <c r="M97" s="51">
        <v>2.1934</v>
      </c>
    </row>
    <row r="98" spans="1:14" x14ac:dyDescent="0.2">
      <c r="A98" t="s">
        <v>170</v>
      </c>
      <c r="B98" t="s">
        <v>171</v>
      </c>
      <c r="C98" s="5">
        <v>44167</v>
      </c>
      <c r="D98" t="s">
        <v>17</v>
      </c>
      <c r="E98" s="7">
        <v>19321</v>
      </c>
      <c r="F98"/>
      <c r="G98"/>
      <c r="H98" s="37">
        <v>-1.74</v>
      </c>
      <c r="I98" s="10"/>
      <c r="J98" s="10"/>
      <c r="K98" s="10"/>
      <c r="L98" s="10"/>
      <c r="M98" s="75">
        <f>1.2568-2.967</f>
        <v>-1.7102000000000002</v>
      </c>
    </row>
    <row r="99" spans="1:14" x14ac:dyDescent="0.2">
      <c r="A99" t="s">
        <v>170</v>
      </c>
      <c r="B99" t="s">
        <v>171</v>
      </c>
      <c r="C99" s="5">
        <v>44223</v>
      </c>
      <c r="D99" t="s">
        <v>23</v>
      </c>
      <c r="E99" s="7"/>
      <c r="F99"/>
      <c r="G99"/>
      <c r="H99" s="37">
        <v>-3.83</v>
      </c>
      <c r="I99" s="10"/>
      <c r="J99" s="10"/>
      <c r="K99" s="10"/>
      <c r="L99" s="10"/>
      <c r="M99" s="51">
        <v>-3.9156</v>
      </c>
    </row>
    <row r="100" spans="1:14" x14ac:dyDescent="0.2">
      <c r="A100" t="s">
        <v>170</v>
      </c>
      <c r="B100" t="s">
        <v>171</v>
      </c>
      <c r="C100" s="5">
        <v>44223</v>
      </c>
      <c r="D100" t="s">
        <v>15</v>
      </c>
      <c r="E100" s="7">
        <v>31027</v>
      </c>
      <c r="F100"/>
      <c r="G100"/>
      <c r="H100" s="37">
        <v>-3.58</v>
      </c>
      <c r="I100" s="23">
        <v>130</v>
      </c>
      <c r="J100" s="14">
        <v>127.6</v>
      </c>
      <c r="K100" s="24">
        <f>J100-I100</f>
        <v>-2.4000000000000057</v>
      </c>
      <c r="L100" s="10"/>
      <c r="M100" s="51" t="s">
        <v>42</v>
      </c>
    </row>
    <row r="101" spans="1:14" x14ac:dyDescent="0.2">
      <c r="A101" t="s">
        <v>170</v>
      </c>
      <c r="B101" t="s">
        <v>171</v>
      </c>
      <c r="C101" s="5">
        <v>44223</v>
      </c>
      <c r="D101" t="s">
        <v>21</v>
      </c>
      <c r="E101" s="7"/>
      <c r="F101">
        <v>151013</v>
      </c>
      <c r="G101">
        <v>522326</v>
      </c>
      <c r="H101" s="37">
        <v>2.1934</v>
      </c>
      <c r="I101" s="10"/>
      <c r="J101" s="10"/>
      <c r="K101" s="10"/>
      <c r="L101" s="10"/>
      <c r="M101" s="51">
        <v>2.2000299999999999</v>
      </c>
    </row>
    <row r="102" spans="1:14" s="126" customFormat="1" ht="13.5" thickBot="1" x14ac:dyDescent="0.25">
      <c r="A102" s="118" t="s">
        <v>170</v>
      </c>
      <c r="B102" s="118" t="s">
        <v>171</v>
      </c>
      <c r="C102" s="129">
        <v>44223</v>
      </c>
      <c r="D102" s="118" t="s">
        <v>17</v>
      </c>
      <c r="E102" s="121">
        <v>19321</v>
      </c>
      <c r="F102" s="118"/>
      <c r="G102" s="118"/>
      <c r="H102" s="122">
        <v>-1.74</v>
      </c>
      <c r="I102" s="123"/>
      <c r="J102" s="123"/>
      <c r="K102" s="123"/>
      <c r="L102" s="123"/>
      <c r="M102" s="174">
        <f>1.2463-2.967</f>
        <v>-1.7207000000000001</v>
      </c>
      <c r="N102" s="125"/>
    </row>
    <row r="103" spans="1:14" x14ac:dyDescent="0.2">
      <c r="A103"/>
      <c r="B103"/>
      <c r="C103"/>
      <c r="D103"/>
      <c r="E103" s="7"/>
      <c r="F103"/>
      <c r="G103"/>
      <c r="H103" s="37"/>
      <c r="I103" s="10"/>
      <c r="J103" s="10"/>
      <c r="K103" s="10"/>
      <c r="L103" s="10"/>
      <c r="M103" s="51"/>
    </row>
    <row r="104" spans="1:14" x14ac:dyDescent="0.2">
      <c r="A104"/>
      <c r="B104"/>
      <c r="C104"/>
      <c r="D104"/>
      <c r="E104" s="7"/>
      <c r="F104"/>
      <c r="G104"/>
      <c r="H104" s="37"/>
      <c r="I104" s="10"/>
      <c r="J104" s="10"/>
      <c r="K104" s="10"/>
      <c r="L104" s="10"/>
      <c r="M104" s="51"/>
    </row>
    <row r="105" spans="1:14" x14ac:dyDescent="0.2">
      <c r="A105"/>
      <c r="B105"/>
      <c r="C105"/>
      <c r="D105"/>
      <c r="E105" s="7"/>
      <c r="F105"/>
      <c r="G105"/>
      <c r="H105" s="37"/>
      <c r="I105" s="10"/>
      <c r="J105" s="10"/>
      <c r="K105" s="10"/>
      <c r="L105" s="10"/>
      <c r="M105" s="51"/>
    </row>
    <row r="106" spans="1:14" x14ac:dyDescent="0.2">
      <c r="A106"/>
      <c r="B106"/>
      <c r="D106"/>
      <c r="E106" s="7"/>
      <c r="F106"/>
      <c r="G106"/>
      <c r="H106" s="37"/>
      <c r="I106" s="10"/>
      <c r="J106" s="10"/>
      <c r="K106" s="10"/>
      <c r="L106" s="10"/>
      <c r="M106" s="51"/>
    </row>
    <row r="107" spans="1:14" x14ac:dyDescent="0.2">
      <c r="A107"/>
      <c r="B107"/>
      <c r="C107"/>
      <c r="D107"/>
      <c r="E107" s="7"/>
      <c r="F107"/>
      <c r="G107"/>
      <c r="H107" s="37"/>
      <c r="I107" s="10"/>
      <c r="J107" s="10"/>
      <c r="K107" s="10"/>
      <c r="L107" s="10"/>
      <c r="M107" s="51"/>
    </row>
    <row r="108" spans="1:14" x14ac:dyDescent="0.2">
      <c r="A108"/>
      <c r="B108"/>
      <c r="C108"/>
      <c r="D108"/>
      <c r="E108" s="7"/>
      <c r="F108"/>
      <c r="G108"/>
      <c r="H108" s="37"/>
      <c r="I108" s="10"/>
      <c r="J108" s="10"/>
      <c r="K108" s="10"/>
      <c r="L108" s="10"/>
      <c r="M108" s="51"/>
    </row>
    <row r="109" spans="1:14" x14ac:dyDescent="0.2">
      <c r="A109"/>
      <c r="B109"/>
      <c r="C109"/>
      <c r="D109"/>
      <c r="E109" s="7"/>
      <c r="F109"/>
      <c r="G109"/>
      <c r="H109" s="37"/>
      <c r="I109" s="10"/>
      <c r="J109" s="10"/>
      <c r="K109" s="10"/>
      <c r="L109" s="10"/>
      <c r="M109" s="51"/>
    </row>
    <row r="110" spans="1:14" x14ac:dyDescent="0.2">
      <c r="A110"/>
      <c r="B110"/>
      <c r="C110"/>
      <c r="D110"/>
      <c r="E110" s="7"/>
      <c r="F110"/>
      <c r="G110"/>
      <c r="H110" s="37"/>
      <c r="I110" s="10"/>
      <c r="J110" s="10"/>
      <c r="K110" s="10"/>
      <c r="L110" s="10"/>
      <c r="M110" s="51"/>
    </row>
    <row r="111" spans="1:14" x14ac:dyDescent="0.2">
      <c r="A111"/>
      <c r="B111"/>
      <c r="C111"/>
      <c r="D111"/>
      <c r="E111" s="7"/>
      <c r="F111"/>
      <c r="G111"/>
      <c r="H111" s="37"/>
      <c r="I111" s="10"/>
      <c r="J111" s="10"/>
      <c r="K111" s="10"/>
      <c r="L111" s="10"/>
      <c r="M111" s="51"/>
    </row>
    <row r="112" spans="1:14" x14ac:dyDescent="0.2">
      <c r="A112"/>
      <c r="B112"/>
      <c r="C112"/>
      <c r="D112"/>
      <c r="E112" s="7"/>
      <c r="F112"/>
      <c r="G112"/>
      <c r="H112" s="37"/>
      <c r="I112" s="10"/>
      <c r="J112" s="10"/>
      <c r="K112" s="10"/>
      <c r="L112" s="10"/>
      <c r="M112" s="51"/>
    </row>
    <row r="113" spans="1:13" x14ac:dyDescent="0.2">
      <c r="A113"/>
      <c r="B113"/>
      <c r="C113"/>
      <c r="D113"/>
      <c r="E113" s="7"/>
      <c r="F113"/>
      <c r="G113"/>
      <c r="H113" s="37"/>
      <c r="I113" s="10"/>
      <c r="J113" s="10"/>
      <c r="K113" s="10"/>
      <c r="L113" s="10"/>
      <c r="M113" s="51"/>
    </row>
    <row r="114" spans="1:13" x14ac:dyDescent="0.2">
      <c r="A114"/>
      <c r="B114"/>
      <c r="C114"/>
      <c r="D114"/>
      <c r="E114" s="7"/>
      <c r="F114"/>
      <c r="G114"/>
      <c r="H114" s="37"/>
      <c r="I114" s="10"/>
      <c r="J114" s="10"/>
      <c r="K114" s="10"/>
      <c r="L114" s="10"/>
      <c r="M114" s="51"/>
    </row>
    <row r="115" spans="1:13" x14ac:dyDescent="0.2">
      <c r="A115"/>
      <c r="B115"/>
      <c r="C115"/>
      <c r="D115"/>
      <c r="E115" s="7"/>
      <c r="F115"/>
      <c r="G115"/>
      <c r="H115" s="37"/>
      <c r="I115" s="10"/>
      <c r="J115" s="10"/>
      <c r="K115" s="10"/>
      <c r="L115" s="10"/>
      <c r="M115" s="51"/>
    </row>
    <row r="116" spans="1:13" x14ac:dyDescent="0.2">
      <c r="A116"/>
      <c r="B116"/>
      <c r="C116"/>
      <c r="D116"/>
      <c r="E116" s="7"/>
      <c r="F116"/>
      <c r="G116"/>
      <c r="H116" s="37"/>
      <c r="I116" s="10"/>
      <c r="J116" s="10"/>
      <c r="K116" s="10"/>
      <c r="L116" s="10"/>
      <c r="M116" s="51"/>
    </row>
    <row r="117" spans="1:13" x14ac:dyDescent="0.2">
      <c r="A117"/>
      <c r="B117"/>
      <c r="C117"/>
      <c r="D117"/>
      <c r="E117" s="7"/>
      <c r="F117"/>
      <c r="G117"/>
      <c r="H117" s="37"/>
      <c r="I117" s="10"/>
      <c r="J117" s="10"/>
      <c r="K117" s="10"/>
      <c r="L117" s="10"/>
      <c r="M117" s="51"/>
    </row>
    <row r="118" spans="1:13" x14ac:dyDescent="0.2">
      <c r="A118"/>
      <c r="B118"/>
      <c r="C118"/>
      <c r="D118"/>
      <c r="E118" s="7"/>
      <c r="F118"/>
      <c r="G118"/>
      <c r="H118" s="37"/>
      <c r="I118" s="10"/>
      <c r="J118" s="10"/>
      <c r="K118" s="10"/>
      <c r="L118" s="10"/>
      <c r="M118" s="51"/>
    </row>
    <row r="119" spans="1:13" x14ac:dyDescent="0.2">
      <c r="A119"/>
      <c r="B119"/>
      <c r="C119"/>
      <c r="D119"/>
      <c r="E119" s="7"/>
      <c r="F119"/>
      <c r="G119"/>
      <c r="H119" s="37"/>
      <c r="I119" s="10"/>
      <c r="J119" s="10"/>
      <c r="K119" s="10"/>
      <c r="L119" s="10"/>
      <c r="M119" s="51"/>
    </row>
    <row r="120" spans="1:13" x14ac:dyDescent="0.2">
      <c r="A120"/>
      <c r="B120"/>
      <c r="C120"/>
      <c r="D120"/>
      <c r="E120" s="7"/>
      <c r="F120"/>
      <c r="G120"/>
      <c r="H120" s="37"/>
      <c r="I120" s="10"/>
      <c r="J120" s="10"/>
      <c r="K120" s="10"/>
      <c r="L120" s="10"/>
      <c r="M120" s="51"/>
    </row>
    <row r="121" spans="1:13" x14ac:dyDescent="0.2">
      <c r="A121"/>
      <c r="B121"/>
      <c r="C121"/>
      <c r="D121"/>
      <c r="E121" s="7"/>
      <c r="F121"/>
      <c r="G121"/>
      <c r="H121" s="37"/>
      <c r="I121" s="10"/>
      <c r="J121" s="10"/>
      <c r="K121" s="10"/>
      <c r="L121" s="10"/>
      <c r="M121" s="51"/>
    </row>
    <row r="122" spans="1:13" x14ac:dyDescent="0.2">
      <c r="A122"/>
      <c r="B122"/>
      <c r="C122"/>
      <c r="D122"/>
      <c r="E122" s="7"/>
      <c r="F122"/>
      <c r="G122"/>
      <c r="H122" s="37"/>
      <c r="I122" s="10"/>
      <c r="J122" s="10"/>
      <c r="K122" s="10"/>
      <c r="L122" s="10"/>
      <c r="M122" s="51"/>
    </row>
    <row r="123" spans="1:13" x14ac:dyDescent="0.2">
      <c r="A123"/>
      <c r="B123"/>
      <c r="C123"/>
      <c r="D123"/>
      <c r="E123" s="7"/>
      <c r="F123"/>
      <c r="G123"/>
      <c r="H123" s="37"/>
      <c r="I123" s="10"/>
      <c r="J123" s="10"/>
      <c r="K123" s="10"/>
      <c r="L123" s="10"/>
      <c r="M123" s="51"/>
    </row>
    <row r="124" spans="1:13" x14ac:dyDescent="0.2">
      <c r="A124"/>
      <c r="B124"/>
      <c r="C124"/>
      <c r="D124"/>
      <c r="E124" s="7"/>
      <c r="F124"/>
      <c r="G124"/>
      <c r="H124" s="37"/>
      <c r="I124" s="10"/>
      <c r="J124" s="10"/>
      <c r="K124" s="10"/>
      <c r="L124" s="10"/>
      <c r="M124" s="51"/>
    </row>
    <row r="125" spans="1:13" x14ac:dyDescent="0.2">
      <c r="A125"/>
      <c r="B125"/>
      <c r="C125"/>
      <c r="D125"/>
      <c r="E125" s="7"/>
      <c r="F125"/>
      <c r="G125"/>
      <c r="H125" s="37"/>
      <c r="I125" s="10"/>
      <c r="J125" s="10"/>
      <c r="K125" s="10"/>
      <c r="L125" s="10"/>
      <c r="M125" s="51"/>
    </row>
    <row r="126" spans="1:13" x14ac:dyDescent="0.2">
      <c r="A126"/>
      <c r="B126"/>
      <c r="C126"/>
      <c r="D126"/>
      <c r="E126" s="7"/>
      <c r="F126"/>
      <c r="G126"/>
      <c r="H126" s="37"/>
      <c r="I126" s="10"/>
      <c r="J126" s="10"/>
      <c r="K126" s="10"/>
      <c r="L126" s="10"/>
      <c r="M126" s="51"/>
    </row>
    <row r="127" spans="1:13" x14ac:dyDescent="0.2">
      <c r="A127"/>
      <c r="B127"/>
      <c r="C127"/>
      <c r="D127"/>
      <c r="E127" s="7"/>
      <c r="F127"/>
      <c r="G127"/>
      <c r="H127" s="37"/>
      <c r="I127" s="10"/>
      <c r="J127" s="10"/>
      <c r="K127" s="10"/>
      <c r="L127" s="10"/>
      <c r="M127" s="51"/>
    </row>
    <row r="128" spans="1:13" x14ac:dyDescent="0.2">
      <c r="A128"/>
      <c r="B128"/>
      <c r="C128"/>
      <c r="D128"/>
      <c r="E128" s="7"/>
      <c r="F128"/>
      <c r="G128"/>
      <c r="H128" s="37"/>
      <c r="I128" s="10"/>
      <c r="J128" s="10"/>
      <c r="K128" s="10"/>
      <c r="L128" s="10"/>
      <c r="M128" s="51"/>
    </row>
    <row r="129" spans="1:13" x14ac:dyDescent="0.2">
      <c r="A129"/>
      <c r="B129"/>
      <c r="C129"/>
      <c r="D129"/>
      <c r="E129" s="7"/>
      <c r="F129"/>
      <c r="G129"/>
      <c r="H129" s="37"/>
      <c r="I129" s="10"/>
      <c r="J129" s="10"/>
      <c r="K129" s="10"/>
      <c r="L129" s="10"/>
      <c r="M129" s="51"/>
    </row>
    <row r="130" spans="1:13" x14ac:dyDescent="0.2">
      <c r="A130"/>
      <c r="B130"/>
      <c r="C130"/>
      <c r="D130"/>
      <c r="E130" s="7"/>
      <c r="F130"/>
      <c r="G130"/>
      <c r="H130" s="37"/>
      <c r="I130" s="10"/>
      <c r="J130" s="10"/>
      <c r="K130" s="10"/>
      <c r="L130" s="10"/>
      <c r="M130" s="51"/>
    </row>
    <row r="131" spans="1:13" x14ac:dyDescent="0.2">
      <c r="A131"/>
      <c r="B131"/>
      <c r="C131"/>
      <c r="D131"/>
      <c r="E131" s="7"/>
      <c r="F131"/>
      <c r="G131"/>
      <c r="H131" s="37"/>
      <c r="I131" s="10"/>
      <c r="J131" s="10"/>
      <c r="K131" s="10"/>
      <c r="L131" s="10"/>
      <c r="M131" s="51"/>
    </row>
    <row r="132" spans="1:13" x14ac:dyDescent="0.2">
      <c r="A132"/>
      <c r="B132"/>
      <c r="C132"/>
      <c r="D132"/>
      <c r="E132" s="7"/>
      <c r="F132"/>
      <c r="G132"/>
      <c r="H132" s="37"/>
      <c r="I132" s="10"/>
      <c r="J132" s="10"/>
      <c r="K132" s="10"/>
      <c r="L132" s="10"/>
      <c r="M132" s="51"/>
    </row>
    <row r="133" spans="1:13" x14ac:dyDescent="0.2">
      <c r="A133"/>
      <c r="B133"/>
      <c r="C133"/>
      <c r="D133"/>
      <c r="E133" s="7"/>
      <c r="F133"/>
      <c r="G133"/>
      <c r="H133" s="37"/>
      <c r="I133" s="10"/>
      <c r="J133" s="10"/>
      <c r="K133" s="10"/>
      <c r="L133" s="10"/>
      <c r="M133" s="51"/>
    </row>
    <row r="134" spans="1:13" x14ac:dyDescent="0.2">
      <c r="A134"/>
      <c r="B134"/>
      <c r="C134"/>
      <c r="D134"/>
      <c r="E134" s="7"/>
      <c r="F134"/>
      <c r="G134"/>
      <c r="H134" s="37"/>
      <c r="I134" s="10"/>
      <c r="J134" s="10"/>
      <c r="K134" s="10"/>
      <c r="L134" s="10"/>
      <c r="M134" s="51"/>
    </row>
    <row r="135" spans="1:13" x14ac:dyDescent="0.2">
      <c r="A135"/>
      <c r="B135"/>
      <c r="C135"/>
      <c r="D135"/>
      <c r="E135" s="7"/>
      <c r="F135"/>
      <c r="G135"/>
      <c r="H135" s="37"/>
      <c r="I135" s="10"/>
      <c r="J135" s="10"/>
      <c r="K135" s="10"/>
      <c r="L135" s="10"/>
      <c r="M135" s="51"/>
    </row>
    <row r="136" spans="1:13" x14ac:dyDescent="0.2">
      <c r="A136"/>
      <c r="B136"/>
      <c r="C136"/>
      <c r="D136"/>
      <c r="E136" s="7"/>
      <c r="F136"/>
      <c r="G136"/>
      <c r="H136" s="37"/>
      <c r="I136" s="10"/>
      <c r="J136" s="10"/>
      <c r="K136" s="10"/>
      <c r="L136" s="10"/>
      <c r="M136" s="51"/>
    </row>
    <row r="137" spans="1:13" x14ac:dyDescent="0.2">
      <c r="A137"/>
      <c r="B137"/>
      <c r="C137"/>
      <c r="D137"/>
      <c r="E137" s="7"/>
      <c r="F137"/>
      <c r="G137"/>
      <c r="H137" s="37"/>
      <c r="I137" s="10"/>
      <c r="J137" s="10"/>
      <c r="K137" s="10"/>
      <c r="L137" s="10"/>
      <c r="M137" s="51"/>
    </row>
    <row r="138" spans="1:13" x14ac:dyDescent="0.2">
      <c r="A138"/>
      <c r="B138"/>
      <c r="C138"/>
      <c r="D138"/>
      <c r="E138" s="7"/>
      <c r="F138"/>
      <c r="G138"/>
      <c r="H138" s="37"/>
      <c r="I138" s="10"/>
      <c r="J138" s="10"/>
      <c r="K138" s="10"/>
      <c r="L138" s="10"/>
      <c r="M138" s="51"/>
    </row>
    <row r="139" spans="1:13" x14ac:dyDescent="0.2">
      <c r="A139"/>
      <c r="B139"/>
      <c r="C139"/>
      <c r="D139"/>
      <c r="E139" s="7"/>
      <c r="F139"/>
      <c r="G139"/>
      <c r="H139" s="37"/>
      <c r="I139" s="10"/>
      <c r="J139" s="10"/>
      <c r="K139" s="10"/>
      <c r="L139" s="10"/>
      <c r="M139" s="51"/>
    </row>
    <row r="140" spans="1:13" x14ac:dyDescent="0.2">
      <c r="A140"/>
      <c r="B140"/>
      <c r="C140"/>
      <c r="D140"/>
      <c r="E140" s="7"/>
      <c r="F140"/>
      <c r="G140"/>
      <c r="H140" s="37"/>
      <c r="I140" s="10"/>
      <c r="J140" s="10"/>
      <c r="K140" s="10"/>
      <c r="L140" s="10"/>
      <c r="M140" s="51"/>
    </row>
    <row r="141" spans="1:13" x14ac:dyDescent="0.2">
      <c r="A141"/>
      <c r="B141"/>
      <c r="C141"/>
      <c r="D141"/>
      <c r="E141" s="7"/>
      <c r="F141"/>
      <c r="G141"/>
      <c r="H141" s="37"/>
      <c r="I141" s="10"/>
      <c r="J141" s="10"/>
      <c r="K141" s="10"/>
      <c r="L141" s="10"/>
      <c r="M141" s="51"/>
    </row>
    <row r="142" spans="1:13" x14ac:dyDescent="0.2">
      <c r="A142"/>
      <c r="B142"/>
      <c r="C142"/>
      <c r="D142"/>
      <c r="E142" s="7"/>
      <c r="F142"/>
      <c r="G142"/>
      <c r="H142" s="37"/>
      <c r="I142" s="10"/>
      <c r="J142" s="10"/>
      <c r="K142" s="10"/>
      <c r="L142" s="10"/>
      <c r="M142" s="51"/>
    </row>
    <row r="143" spans="1:13" x14ac:dyDescent="0.2">
      <c r="A143"/>
      <c r="B143"/>
      <c r="C143"/>
      <c r="D143"/>
      <c r="E143" s="7"/>
      <c r="F143"/>
      <c r="G143"/>
      <c r="H143" s="37"/>
      <c r="I143" s="10"/>
      <c r="J143" s="10"/>
      <c r="K143" s="10"/>
      <c r="L143" s="10"/>
      <c r="M143" s="51"/>
    </row>
    <row r="144" spans="1:13" x14ac:dyDescent="0.2">
      <c r="A144"/>
      <c r="B144"/>
      <c r="C144"/>
      <c r="D144"/>
      <c r="E144" s="7"/>
      <c r="F144"/>
      <c r="G144"/>
      <c r="H144" s="37"/>
      <c r="I144" s="10"/>
      <c r="J144" s="10"/>
      <c r="K144" s="10"/>
      <c r="L144" s="10"/>
      <c r="M144" s="51"/>
    </row>
    <row r="145" spans="1:13" x14ac:dyDescent="0.2">
      <c r="A145"/>
      <c r="B145"/>
      <c r="C145"/>
      <c r="D145"/>
      <c r="E145" s="7"/>
      <c r="F145"/>
      <c r="G145"/>
      <c r="H145" s="37"/>
      <c r="I145" s="10"/>
      <c r="J145" s="10"/>
      <c r="K145" s="10"/>
      <c r="L145" s="10"/>
      <c r="M145" s="51"/>
    </row>
    <row r="146" spans="1:13" x14ac:dyDescent="0.2">
      <c r="A146"/>
      <c r="B146"/>
      <c r="C146"/>
      <c r="D146"/>
      <c r="E146" s="7"/>
      <c r="F146"/>
      <c r="G146"/>
      <c r="H146" s="37"/>
      <c r="I146" s="10"/>
      <c r="J146" s="10"/>
      <c r="K146" s="10"/>
      <c r="L146" s="10"/>
      <c r="M146" s="51"/>
    </row>
    <row r="147" spans="1:13" x14ac:dyDescent="0.2">
      <c r="A147"/>
      <c r="B147"/>
      <c r="C147"/>
      <c r="D147"/>
      <c r="E147" s="7"/>
      <c r="F147"/>
      <c r="G147"/>
      <c r="H147" s="37"/>
      <c r="I147" s="10"/>
      <c r="J147" s="10"/>
      <c r="K147" s="10"/>
      <c r="L147" s="10"/>
      <c r="M147" s="51"/>
    </row>
    <row r="148" spans="1:13" x14ac:dyDescent="0.2">
      <c r="A148"/>
      <c r="B148"/>
      <c r="C148"/>
      <c r="D148"/>
      <c r="E148" s="7"/>
      <c r="F148"/>
      <c r="G148"/>
      <c r="H148" s="37"/>
      <c r="I148" s="10"/>
      <c r="J148" s="10"/>
      <c r="K148" s="10"/>
      <c r="L148" s="10"/>
      <c r="M148" s="51"/>
    </row>
    <row r="149" spans="1:13" x14ac:dyDescent="0.2">
      <c r="A149"/>
      <c r="B149"/>
      <c r="C149"/>
      <c r="D149"/>
      <c r="E149" s="7"/>
      <c r="F149"/>
      <c r="G149"/>
      <c r="H149" s="37"/>
      <c r="I149" s="10"/>
      <c r="J149" s="10"/>
      <c r="K149" s="10"/>
      <c r="L149" s="10"/>
      <c r="M149" s="51"/>
    </row>
    <row r="150" spans="1:13" x14ac:dyDescent="0.2">
      <c r="A150"/>
      <c r="B150"/>
      <c r="C150"/>
      <c r="D150"/>
      <c r="E150" s="7"/>
      <c r="F150"/>
      <c r="G150"/>
      <c r="H150" s="37"/>
      <c r="I150" s="10"/>
      <c r="J150" s="10"/>
      <c r="K150" s="10"/>
      <c r="L150" s="10"/>
      <c r="M150" s="51"/>
    </row>
    <row r="151" spans="1:13" x14ac:dyDescent="0.2">
      <c r="A151"/>
      <c r="B151"/>
      <c r="C151"/>
      <c r="D151"/>
      <c r="E151" s="7"/>
      <c r="F151"/>
      <c r="G151"/>
      <c r="H151" s="37"/>
      <c r="I151" s="10"/>
      <c r="J151" s="10"/>
      <c r="K151" s="10"/>
      <c r="L151" s="10"/>
      <c r="M151" s="51"/>
    </row>
    <row r="152" spans="1:13" x14ac:dyDescent="0.2">
      <c r="A152"/>
      <c r="B152"/>
      <c r="C152"/>
      <c r="D152"/>
      <c r="E152" s="7"/>
      <c r="F152"/>
      <c r="G152"/>
      <c r="H152" s="37"/>
      <c r="I152" s="10"/>
      <c r="J152" s="10"/>
      <c r="K152" s="10"/>
      <c r="L152" s="10"/>
      <c r="M152" s="51"/>
    </row>
    <row r="153" spans="1:13" x14ac:dyDescent="0.2">
      <c r="A153"/>
      <c r="B153"/>
      <c r="C153"/>
      <c r="D153"/>
      <c r="E153" s="7"/>
      <c r="F153"/>
      <c r="G153"/>
      <c r="H153" s="37"/>
      <c r="I153" s="10"/>
      <c r="J153" s="10"/>
      <c r="K153" s="10"/>
      <c r="L153" s="10"/>
      <c r="M153" s="51"/>
    </row>
    <row r="154" spans="1:13" x14ac:dyDescent="0.2">
      <c r="A154"/>
      <c r="B154"/>
      <c r="C154"/>
      <c r="D154"/>
      <c r="E154" s="7"/>
      <c r="F154"/>
      <c r="G154"/>
      <c r="H154" s="37"/>
      <c r="I154" s="10"/>
      <c r="J154" s="10"/>
      <c r="K154" s="10"/>
      <c r="L154" s="10"/>
      <c r="M154" s="51"/>
    </row>
    <row r="155" spans="1:13" x14ac:dyDescent="0.2">
      <c r="A155"/>
      <c r="B155"/>
      <c r="C155"/>
      <c r="D155"/>
      <c r="E155" s="7"/>
      <c r="F155"/>
      <c r="G155"/>
      <c r="H155" s="37"/>
      <c r="I155" s="10"/>
      <c r="J155" s="10"/>
      <c r="K155" s="10"/>
      <c r="L155" s="10"/>
      <c r="M155" s="51"/>
    </row>
    <row r="156" spans="1:13" x14ac:dyDescent="0.2">
      <c r="A156"/>
      <c r="B156"/>
      <c r="C156"/>
      <c r="D156"/>
      <c r="E156" s="7"/>
      <c r="F156"/>
      <c r="G156"/>
      <c r="H156" s="37"/>
      <c r="I156" s="10"/>
      <c r="J156" s="10"/>
      <c r="K156" s="10"/>
      <c r="L156" s="10"/>
      <c r="M156" s="51"/>
    </row>
    <row r="157" spans="1:13" x14ac:dyDescent="0.2">
      <c r="A157"/>
      <c r="B157"/>
      <c r="C157"/>
      <c r="D157"/>
      <c r="E157" s="7"/>
      <c r="F157"/>
      <c r="G157"/>
      <c r="H157" s="37"/>
      <c r="I157" s="10"/>
      <c r="J157" s="10"/>
      <c r="K157" s="10"/>
      <c r="L157" s="10"/>
      <c r="M157" s="51"/>
    </row>
    <row r="158" spans="1:13" x14ac:dyDescent="0.2">
      <c r="A158"/>
      <c r="B158"/>
      <c r="C158"/>
      <c r="D158"/>
      <c r="E158" s="7"/>
      <c r="F158"/>
      <c r="G158"/>
      <c r="H158" s="37"/>
      <c r="I158" s="10"/>
      <c r="J158" s="10"/>
      <c r="K158" s="10"/>
      <c r="L158" s="10"/>
      <c r="M158" s="51"/>
    </row>
    <row r="159" spans="1:13" x14ac:dyDescent="0.2">
      <c r="A159"/>
      <c r="B159"/>
      <c r="C159"/>
      <c r="D159"/>
      <c r="E159" s="7"/>
      <c r="F159"/>
      <c r="G159"/>
      <c r="H159" s="37"/>
      <c r="I159" s="10"/>
      <c r="J159" s="10"/>
      <c r="K159" s="10"/>
      <c r="L159" s="10"/>
      <c r="M159" s="51"/>
    </row>
    <row r="160" spans="1:13" x14ac:dyDescent="0.2">
      <c r="A160"/>
      <c r="B160"/>
      <c r="C160"/>
      <c r="D160"/>
      <c r="E160" s="7"/>
      <c r="F160"/>
      <c r="G160"/>
      <c r="H160" s="37"/>
      <c r="I160" s="10"/>
      <c r="J160" s="10"/>
      <c r="K160" s="10"/>
      <c r="L160" s="10"/>
      <c r="M160" s="51"/>
    </row>
    <row r="161" spans="1:13" x14ac:dyDescent="0.2">
      <c r="A161"/>
      <c r="B161"/>
      <c r="C161"/>
      <c r="D161"/>
      <c r="E161" s="7"/>
      <c r="F161"/>
      <c r="G161"/>
      <c r="H161" s="37"/>
      <c r="I161" s="10"/>
      <c r="J161" s="10"/>
      <c r="K161" s="10"/>
      <c r="L161" s="10"/>
      <c r="M161" s="51"/>
    </row>
    <row r="162" spans="1:13" x14ac:dyDescent="0.2">
      <c r="A162"/>
      <c r="B162"/>
      <c r="C162"/>
      <c r="D162"/>
      <c r="E162" s="7"/>
      <c r="F162"/>
      <c r="G162"/>
      <c r="H162" s="37"/>
      <c r="I162" s="10"/>
      <c r="J162" s="10"/>
      <c r="K162" s="10"/>
      <c r="L162" s="10"/>
      <c r="M162" s="51"/>
    </row>
    <row r="163" spans="1:13" x14ac:dyDescent="0.2">
      <c r="A163"/>
      <c r="B163"/>
      <c r="C163"/>
      <c r="D163"/>
      <c r="E163" s="7"/>
      <c r="F163"/>
      <c r="G163"/>
      <c r="H163" s="37"/>
      <c r="I163" s="10"/>
      <c r="J163" s="10"/>
      <c r="K163" s="10"/>
      <c r="L163" s="10"/>
      <c r="M163" s="51"/>
    </row>
    <row r="164" spans="1:13" x14ac:dyDescent="0.2">
      <c r="A164"/>
      <c r="B164"/>
      <c r="C164"/>
      <c r="D164"/>
      <c r="E164" s="7"/>
      <c r="F164"/>
      <c r="G164"/>
      <c r="H164" s="37"/>
      <c r="I164" s="10"/>
      <c r="J164" s="10"/>
      <c r="K164" s="10"/>
      <c r="L164" s="10"/>
      <c r="M164" s="51"/>
    </row>
    <row r="165" spans="1:13" x14ac:dyDescent="0.2">
      <c r="A165"/>
      <c r="B165"/>
      <c r="C165"/>
      <c r="D165"/>
      <c r="E165" s="7"/>
      <c r="F165"/>
      <c r="G165"/>
      <c r="H165" s="37"/>
      <c r="I165" s="10"/>
      <c r="J165" s="10"/>
      <c r="K165" s="10"/>
      <c r="L165" s="10"/>
      <c r="M165" s="51"/>
    </row>
    <row r="166" spans="1:13" x14ac:dyDescent="0.2">
      <c r="A166"/>
      <c r="B166"/>
      <c r="C166"/>
      <c r="D166"/>
      <c r="E166" s="7"/>
      <c r="F166"/>
      <c r="G166"/>
      <c r="H166" s="37"/>
      <c r="I166" s="10"/>
      <c r="J166" s="10"/>
      <c r="K166" s="10"/>
      <c r="L166" s="10"/>
      <c r="M166" s="51"/>
    </row>
    <row r="167" spans="1:13" x14ac:dyDescent="0.2">
      <c r="A167"/>
      <c r="B167"/>
      <c r="C167"/>
      <c r="D167"/>
      <c r="E167" s="7"/>
      <c r="F167"/>
      <c r="G167"/>
      <c r="H167" s="37"/>
      <c r="I167" s="10"/>
      <c r="J167" s="10"/>
      <c r="K167" s="10"/>
      <c r="L167" s="10"/>
      <c r="M167" s="51"/>
    </row>
    <row r="168" spans="1:13" x14ac:dyDescent="0.2">
      <c r="A168"/>
      <c r="B168"/>
      <c r="C168"/>
      <c r="D168"/>
      <c r="E168" s="7"/>
      <c r="F168"/>
      <c r="G168"/>
      <c r="H168" s="37"/>
      <c r="I168" s="10"/>
      <c r="J168" s="10"/>
      <c r="K168" s="10"/>
      <c r="L168" s="10"/>
      <c r="M168" s="51"/>
    </row>
    <row r="169" spans="1:13" x14ac:dyDescent="0.2">
      <c r="A169"/>
      <c r="B169"/>
      <c r="C169"/>
      <c r="D169"/>
      <c r="E169" s="7"/>
      <c r="F169"/>
      <c r="G169"/>
      <c r="H169" s="37"/>
      <c r="I169" s="10"/>
      <c r="J169" s="10"/>
      <c r="K169" s="10"/>
      <c r="L169" s="10"/>
      <c r="M169" s="51"/>
    </row>
    <row r="170" spans="1:13" x14ac:dyDescent="0.2">
      <c r="A170"/>
      <c r="B170"/>
      <c r="C170"/>
      <c r="D170"/>
      <c r="E170" s="7"/>
      <c r="F170"/>
      <c r="G170"/>
      <c r="H170" s="37"/>
      <c r="I170" s="10"/>
      <c r="J170" s="10"/>
      <c r="K170" s="10"/>
      <c r="L170" s="10"/>
      <c r="M170" s="51"/>
    </row>
    <row r="171" spans="1:13" x14ac:dyDescent="0.2">
      <c r="A171"/>
      <c r="B171"/>
      <c r="C171"/>
      <c r="D171"/>
      <c r="E171" s="7"/>
      <c r="F171"/>
      <c r="G171"/>
      <c r="H171" s="37"/>
      <c r="I171" s="10"/>
      <c r="J171" s="10"/>
      <c r="K171" s="10"/>
      <c r="L171" s="10"/>
      <c r="M171" s="51"/>
    </row>
    <row r="172" spans="1:13" x14ac:dyDescent="0.2">
      <c r="A172"/>
      <c r="B172"/>
      <c r="C172"/>
      <c r="D172"/>
      <c r="E172" s="7"/>
      <c r="F172"/>
      <c r="G172"/>
      <c r="H172" s="37"/>
      <c r="I172" s="10"/>
      <c r="J172" s="10"/>
      <c r="K172" s="10"/>
      <c r="L172" s="10"/>
      <c r="M172" s="51"/>
    </row>
    <row r="173" spans="1:13" x14ac:dyDescent="0.2">
      <c r="A173"/>
      <c r="B173"/>
      <c r="C173"/>
      <c r="D173"/>
      <c r="E173" s="7"/>
      <c r="F173"/>
      <c r="G173"/>
      <c r="H173" s="37"/>
      <c r="I173" s="10"/>
      <c r="J173" s="10"/>
      <c r="K173" s="10"/>
      <c r="L173" s="10"/>
      <c r="M173" s="51"/>
    </row>
    <row r="174" spans="1:13" x14ac:dyDescent="0.2">
      <c r="A174"/>
      <c r="B174"/>
      <c r="C174"/>
      <c r="D174"/>
      <c r="E174" s="7"/>
      <c r="F174"/>
      <c r="G174"/>
      <c r="H174" s="37"/>
      <c r="I174" s="10"/>
      <c r="J174" s="10"/>
      <c r="K174" s="10"/>
      <c r="L174" s="10"/>
      <c r="M174" s="51"/>
    </row>
    <row r="175" spans="1:13" x14ac:dyDescent="0.2">
      <c r="A175"/>
      <c r="B175"/>
      <c r="C175"/>
      <c r="D175"/>
      <c r="E175" s="7"/>
      <c r="F175"/>
      <c r="G175"/>
      <c r="H175" s="37"/>
      <c r="I175" s="10"/>
      <c r="J175" s="10"/>
      <c r="K175" s="10"/>
      <c r="L175" s="10"/>
      <c r="M175" s="51"/>
    </row>
    <row r="176" spans="1:13" x14ac:dyDescent="0.2">
      <c r="A176"/>
      <c r="B176"/>
      <c r="C176"/>
      <c r="D176"/>
      <c r="E176" s="7"/>
      <c r="F176"/>
      <c r="G176"/>
      <c r="H176" s="37"/>
      <c r="I176" s="10"/>
      <c r="J176" s="10"/>
      <c r="K176" s="10"/>
      <c r="L176" s="10"/>
      <c r="M176" s="51"/>
    </row>
    <row r="177" spans="1:13" x14ac:dyDescent="0.2">
      <c r="A177"/>
      <c r="B177"/>
      <c r="C177"/>
      <c r="D177"/>
      <c r="E177" s="7"/>
      <c r="F177"/>
      <c r="G177"/>
      <c r="H177" s="37"/>
      <c r="I177" s="10"/>
      <c r="J177" s="10"/>
      <c r="K177" s="10"/>
      <c r="L177" s="10"/>
      <c r="M177" s="51"/>
    </row>
    <row r="178" spans="1:13" x14ac:dyDescent="0.2">
      <c r="A178"/>
      <c r="B178"/>
      <c r="C178"/>
      <c r="D178"/>
      <c r="E178" s="7"/>
      <c r="F178"/>
      <c r="G178"/>
      <c r="H178" s="37"/>
      <c r="I178" s="10"/>
      <c r="J178" s="10"/>
      <c r="K178" s="10"/>
      <c r="L178" s="10"/>
      <c r="M178" s="51"/>
    </row>
    <row r="179" spans="1:13" x14ac:dyDescent="0.2">
      <c r="A179"/>
      <c r="B179"/>
      <c r="C179"/>
      <c r="D179"/>
      <c r="E179" s="7"/>
      <c r="F179"/>
      <c r="G179"/>
      <c r="H179" s="37"/>
      <c r="I179" s="10"/>
      <c r="J179" s="10"/>
      <c r="K179" s="10"/>
      <c r="L179" s="10"/>
      <c r="M179" s="51"/>
    </row>
    <row r="180" spans="1:13" x14ac:dyDescent="0.2">
      <c r="A180"/>
      <c r="B180"/>
      <c r="C180"/>
      <c r="D180"/>
      <c r="E180" s="7"/>
      <c r="F180"/>
      <c r="G180"/>
      <c r="H180" s="37"/>
      <c r="I180" s="10"/>
      <c r="J180" s="10"/>
      <c r="K180" s="10"/>
      <c r="L180" s="10"/>
      <c r="M180" s="51"/>
    </row>
    <row r="181" spans="1:13" x14ac:dyDescent="0.2">
      <c r="A181"/>
      <c r="B181"/>
      <c r="C181"/>
      <c r="D181"/>
      <c r="E181" s="7"/>
      <c r="F181"/>
      <c r="G181"/>
      <c r="H181" s="37"/>
      <c r="I181" s="10"/>
      <c r="J181" s="10"/>
      <c r="K181" s="10"/>
      <c r="L181" s="10"/>
      <c r="M181" s="51"/>
    </row>
    <row r="182" spans="1:13" x14ac:dyDescent="0.2">
      <c r="A182"/>
      <c r="B182"/>
      <c r="C182"/>
      <c r="D182"/>
      <c r="E182" s="7"/>
      <c r="F182"/>
      <c r="G182"/>
      <c r="H182" s="37"/>
      <c r="I182" s="10"/>
      <c r="J182" s="10"/>
      <c r="K182" s="10"/>
      <c r="L182" s="10"/>
      <c r="M182" s="51"/>
    </row>
    <row r="183" spans="1:13" x14ac:dyDescent="0.2">
      <c r="A183"/>
      <c r="B183"/>
      <c r="C183"/>
      <c r="D183"/>
      <c r="E183" s="7"/>
      <c r="F183"/>
      <c r="G183"/>
      <c r="H183" s="37"/>
      <c r="I183" s="10"/>
      <c r="J183" s="10"/>
      <c r="K183" s="10"/>
      <c r="L183" s="10"/>
      <c r="M183" s="51"/>
    </row>
    <row r="184" spans="1:13" x14ac:dyDescent="0.2">
      <c r="A184"/>
      <c r="B184"/>
      <c r="C184"/>
      <c r="D184"/>
      <c r="E184" s="7"/>
      <c r="F184"/>
      <c r="G184"/>
      <c r="H184" s="37"/>
      <c r="I184" s="10"/>
      <c r="J184" s="10"/>
      <c r="K184" s="10"/>
      <c r="L184" s="10"/>
      <c r="M184" s="51"/>
    </row>
    <row r="185" spans="1:13" x14ac:dyDescent="0.2">
      <c r="A185"/>
      <c r="B185"/>
      <c r="C185"/>
      <c r="D185"/>
      <c r="E185" s="7"/>
      <c r="F185"/>
      <c r="G185"/>
      <c r="H185" s="37"/>
      <c r="I185" s="10"/>
      <c r="J185" s="10"/>
      <c r="K185" s="10"/>
      <c r="L185" s="10"/>
      <c r="M185" s="51"/>
    </row>
    <row r="186" spans="1:13" x14ac:dyDescent="0.2">
      <c r="A186"/>
      <c r="B186"/>
      <c r="C186"/>
      <c r="D186"/>
      <c r="E186" s="7"/>
      <c r="F186"/>
      <c r="G186"/>
      <c r="H186" s="37"/>
      <c r="I186" s="10"/>
      <c r="J186" s="10"/>
      <c r="K186" s="10"/>
      <c r="L186" s="10"/>
      <c r="M186" s="51"/>
    </row>
    <row r="187" spans="1:13" x14ac:dyDescent="0.2">
      <c r="A187"/>
      <c r="B187"/>
      <c r="C187"/>
      <c r="D187"/>
      <c r="E187" s="7"/>
      <c r="F187"/>
      <c r="G187"/>
      <c r="H187" s="37"/>
      <c r="I187" s="10"/>
      <c r="J187" s="10"/>
      <c r="K187" s="10"/>
      <c r="L187" s="10"/>
      <c r="M187" s="51"/>
    </row>
    <row r="188" spans="1:13" x14ac:dyDescent="0.2">
      <c r="A188"/>
      <c r="B188"/>
      <c r="C188"/>
      <c r="D188"/>
      <c r="E188" s="7"/>
      <c r="F188"/>
      <c r="G188"/>
      <c r="H188" s="37"/>
      <c r="I188" s="10"/>
      <c r="J188" s="10"/>
      <c r="K188" s="10"/>
      <c r="L188" s="10"/>
      <c r="M188" s="51"/>
    </row>
    <row r="189" spans="1:13" x14ac:dyDescent="0.2">
      <c r="A189"/>
      <c r="B189"/>
      <c r="C189"/>
      <c r="D189"/>
      <c r="E189" s="7"/>
      <c r="F189"/>
      <c r="G189"/>
      <c r="H189" s="37"/>
      <c r="I189" s="10"/>
      <c r="J189" s="10"/>
      <c r="K189" s="10"/>
      <c r="L189" s="10"/>
      <c r="M189" s="51"/>
    </row>
    <row r="190" spans="1:13" x14ac:dyDescent="0.2">
      <c r="A190"/>
      <c r="B190"/>
      <c r="C190"/>
      <c r="D190"/>
      <c r="E190" s="7"/>
      <c r="F190"/>
      <c r="G190"/>
      <c r="H190" s="37"/>
      <c r="I190" s="10"/>
      <c r="J190" s="10"/>
      <c r="K190" s="10"/>
      <c r="L190" s="10"/>
      <c r="M190" s="51"/>
    </row>
    <row r="191" spans="1:13" x14ac:dyDescent="0.2">
      <c r="A191"/>
      <c r="B191"/>
      <c r="C191"/>
      <c r="D191"/>
      <c r="E191" s="7"/>
      <c r="F191"/>
      <c r="G191"/>
      <c r="H191" s="37"/>
      <c r="I191" s="10"/>
      <c r="J191" s="10"/>
      <c r="K191" s="10"/>
      <c r="L191" s="10"/>
      <c r="M191" s="51"/>
    </row>
    <row r="192" spans="1:13" x14ac:dyDescent="0.2">
      <c r="A192"/>
      <c r="B192"/>
      <c r="C192"/>
      <c r="D192"/>
      <c r="E192" s="7"/>
      <c r="F192"/>
      <c r="G192"/>
      <c r="H192" s="37"/>
      <c r="I192" s="10"/>
      <c r="J192" s="10"/>
      <c r="K192" s="10"/>
      <c r="L192" s="10"/>
      <c r="M192" s="51"/>
    </row>
    <row r="193" spans="1:13" x14ac:dyDescent="0.2">
      <c r="A193"/>
      <c r="B193"/>
      <c r="C193"/>
      <c r="D193"/>
      <c r="E193" s="7"/>
      <c r="F193"/>
      <c r="G193"/>
      <c r="H193" s="37"/>
      <c r="I193" s="10"/>
      <c r="J193" s="10"/>
      <c r="K193" s="10"/>
      <c r="L193" s="10"/>
      <c r="M193" s="51"/>
    </row>
    <row r="194" spans="1:13" x14ac:dyDescent="0.2">
      <c r="A194"/>
      <c r="B194"/>
      <c r="C194"/>
      <c r="D194"/>
      <c r="E194" s="7"/>
      <c r="F194"/>
      <c r="G194"/>
      <c r="H194" s="37"/>
      <c r="I194" s="10"/>
      <c r="J194" s="10"/>
      <c r="K194" s="10"/>
      <c r="L194" s="10"/>
      <c r="M194" s="51"/>
    </row>
    <row r="195" spans="1:13" x14ac:dyDescent="0.2">
      <c r="A195"/>
      <c r="B195"/>
      <c r="C195"/>
      <c r="D195"/>
      <c r="E195" s="7"/>
      <c r="F195"/>
      <c r="G195"/>
      <c r="H195" s="37"/>
      <c r="I195" s="10"/>
      <c r="J195" s="10"/>
      <c r="K195" s="10"/>
      <c r="L195" s="10"/>
      <c r="M195" s="51"/>
    </row>
    <row r="196" spans="1:13" x14ac:dyDescent="0.2">
      <c r="A196"/>
      <c r="B196"/>
      <c r="C196"/>
      <c r="D196"/>
      <c r="E196" s="7"/>
      <c r="F196"/>
      <c r="G196"/>
      <c r="H196" s="37"/>
      <c r="I196" s="10"/>
      <c r="J196" s="10"/>
      <c r="K196" s="10"/>
      <c r="L196" s="10"/>
      <c r="M196" s="51"/>
    </row>
    <row r="197" spans="1:13" x14ac:dyDescent="0.2">
      <c r="A197"/>
      <c r="B197"/>
      <c r="C197"/>
      <c r="D197"/>
      <c r="E197" s="7"/>
      <c r="F197"/>
      <c r="G197"/>
      <c r="H197" s="37"/>
      <c r="I197" s="10"/>
      <c r="J197" s="10"/>
      <c r="K197" s="10"/>
      <c r="L197" s="10"/>
      <c r="M197" s="51"/>
    </row>
    <row r="198" spans="1:13" x14ac:dyDescent="0.2">
      <c r="A198"/>
      <c r="B198"/>
      <c r="C198"/>
      <c r="D198"/>
      <c r="E198" s="7"/>
      <c r="F198"/>
      <c r="G198"/>
      <c r="H198" s="37"/>
      <c r="I198" s="10"/>
      <c r="J198" s="10"/>
      <c r="K198" s="10"/>
      <c r="L198" s="10"/>
      <c r="M198" s="51"/>
    </row>
    <row r="199" spans="1:13" x14ac:dyDescent="0.2">
      <c r="A199"/>
      <c r="B199"/>
      <c r="C199"/>
      <c r="D199"/>
      <c r="E199" s="7"/>
      <c r="F199"/>
      <c r="G199"/>
      <c r="H199" s="37"/>
      <c r="I199" s="10"/>
      <c r="J199" s="10"/>
      <c r="K199" s="10"/>
      <c r="L199" s="10"/>
      <c r="M199" s="51"/>
    </row>
    <row r="200" spans="1:13" x14ac:dyDescent="0.2">
      <c r="A200"/>
      <c r="B200"/>
      <c r="C200"/>
      <c r="D200"/>
      <c r="E200" s="7"/>
      <c r="F200"/>
      <c r="G200"/>
      <c r="H200" s="37"/>
      <c r="I200" s="10"/>
      <c r="J200" s="10"/>
      <c r="K200" s="10"/>
      <c r="L200" s="10"/>
      <c r="M200" s="51"/>
    </row>
    <row r="201" spans="1:13" x14ac:dyDescent="0.2">
      <c r="A201"/>
      <c r="B201"/>
      <c r="C201"/>
      <c r="D201"/>
      <c r="E201" s="7"/>
      <c r="F201"/>
      <c r="G201"/>
      <c r="H201" s="37"/>
      <c r="I201" s="10"/>
      <c r="J201" s="10"/>
      <c r="K201" s="10"/>
      <c r="L201" s="10"/>
      <c r="M201" s="51"/>
    </row>
    <row r="202" spans="1:13" x14ac:dyDescent="0.2">
      <c r="A202"/>
      <c r="B202"/>
      <c r="C202"/>
      <c r="D202"/>
      <c r="E202" s="7"/>
      <c r="F202"/>
      <c r="G202"/>
      <c r="H202" s="37"/>
      <c r="I202" s="10"/>
      <c r="J202" s="10"/>
      <c r="K202" s="10"/>
      <c r="L202" s="10"/>
      <c r="M202" s="51"/>
    </row>
    <row r="203" spans="1:13" x14ac:dyDescent="0.2">
      <c r="A203"/>
      <c r="B203"/>
      <c r="C203"/>
      <c r="D203"/>
      <c r="E203" s="7"/>
      <c r="F203"/>
      <c r="G203"/>
      <c r="H203" s="37"/>
      <c r="I203" s="10"/>
      <c r="J203" s="10"/>
      <c r="K203" s="10"/>
      <c r="L203" s="10"/>
      <c r="M203" s="51"/>
    </row>
    <row r="204" spans="1:13" x14ac:dyDescent="0.2">
      <c r="A204"/>
      <c r="B204"/>
      <c r="C204"/>
      <c r="D204"/>
      <c r="E204" s="7"/>
      <c r="F204"/>
      <c r="G204"/>
      <c r="H204" s="37"/>
      <c r="I204" s="10"/>
      <c r="J204" s="10"/>
      <c r="K204" s="10"/>
      <c r="L204" s="10"/>
      <c r="M204" s="51"/>
    </row>
    <row r="205" spans="1:13" x14ac:dyDescent="0.2">
      <c r="A205"/>
      <c r="B205"/>
      <c r="C205"/>
      <c r="D205"/>
      <c r="E205" s="7"/>
      <c r="F205"/>
      <c r="G205"/>
      <c r="H205" s="37"/>
      <c r="I205" s="10"/>
      <c r="J205" s="10"/>
      <c r="K205" s="10"/>
      <c r="L205" s="10"/>
      <c r="M205" s="51"/>
    </row>
    <row r="206" spans="1:13" x14ac:dyDescent="0.2">
      <c r="A206"/>
      <c r="B206"/>
      <c r="C206"/>
      <c r="D206"/>
      <c r="E206" s="7"/>
      <c r="F206"/>
      <c r="G206"/>
      <c r="H206" s="37"/>
      <c r="I206" s="10"/>
      <c r="J206" s="10"/>
      <c r="K206" s="10"/>
      <c r="L206" s="10"/>
      <c r="M206" s="51"/>
    </row>
    <row r="207" spans="1:13" x14ac:dyDescent="0.2">
      <c r="A207"/>
      <c r="B207"/>
      <c r="C207"/>
      <c r="D207"/>
      <c r="E207" s="7"/>
      <c r="F207"/>
      <c r="G207"/>
      <c r="H207" s="37"/>
      <c r="I207" s="10"/>
      <c r="J207" s="10"/>
      <c r="K207" s="10"/>
      <c r="L207" s="10"/>
      <c r="M207" s="51"/>
    </row>
    <row r="208" spans="1:13" x14ac:dyDescent="0.2">
      <c r="A208"/>
      <c r="B208"/>
      <c r="C208"/>
      <c r="D208"/>
      <c r="E208" s="7"/>
      <c r="F208"/>
      <c r="G208"/>
      <c r="H208" s="37"/>
      <c r="I208" s="10"/>
      <c r="J208" s="10"/>
      <c r="K208" s="10"/>
      <c r="L208" s="10"/>
      <c r="M208" s="51"/>
    </row>
    <row r="209" spans="1:13" x14ac:dyDescent="0.2">
      <c r="A209"/>
      <c r="B209"/>
      <c r="C209"/>
      <c r="D209"/>
      <c r="E209" s="7"/>
      <c r="F209"/>
      <c r="G209"/>
      <c r="H209" s="37"/>
      <c r="I209" s="10"/>
      <c r="J209" s="10"/>
      <c r="K209" s="10"/>
      <c r="L209" s="10"/>
      <c r="M209" s="51"/>
    </row>
    <row r="210" spans="1:13" x14ac:dyDescent="0.2">
      <c r="A210"/>
      <c r="B210"/>
      <c r="C210"/>
      <c r="D210"/>
      <c r="E210" s="7"/>
      <c r="F210"/>
      <c r="G210"/>
      <c r="H210" s="37"/>
      <c r="I210" s="10"/>
      <c r="J210" s="10"/>
      <c r="K210" s="10"/>
      <c r="L210" s="10"/>
      <c r="M210" s="51"/>
    </row>
    <row r="211" spans="1:13" x14ac:dyDescent="0.2">
      <c r="A211"/>
      <c r="B211"/>
      <c r="C211"/>
      <c r="D211"/>
      <c r="E211" s="7"/>
      <c r="F211"/>
      <c r="G211"/>
      <c r="H211" s="37"/>
      <c r="I211" s="10"/>
      <c r="J211" s="10"/>
      <c r="K211" s="10"/>
      <c r="L211" s="10"/>
      <c r="M211" s="51"/>
    </row>
    <row r="212" spans="1:13" x14ac:dyDescent="0.2">
      <c r="A212"/>
      <c r="B212"/>
      <c r="C212"/>
      <c r="D212"/>
      <c r="E212" s="7"/>
      <c r="F212"/>
      <c r="G212"/>
      <c r="H212" s="37"/>
      <c r="I212" s="10"/>
      <c r="J212" s="10"/>
      <c r="K212" s="10"/>
      <c r="L212" s="10"/>
      <c r="M212" s="51"/>
    </row>
    <row r="213" spans="1:13" x14ac:dyDescent="0.2">
      <c r="A213"/>
      <c r="B213"/>
      <c r="C213"/>
      <c r="D213"/>
      <c r="E213" s="7"/>
      <c r="F213"/>
      <c r="G213"/>
      <c r="H213" s="37"/>
      <c r="I213" s="10"/>
      <c r="J213" s="10"/>
      <c r="K213" s="10"/>
      <c r="L213" s="10"/>
      <c r="M213" s="51"/>
    </row>
    <row r="214" spans="1:13" x14ac:dyDescent="0.2">
      <c r="A214"/>
      <c r="B214"/>
      <c r="C214"/>
      <c r="D214"/>
      <c r="E214" s="7"/>
      <c r="F214"/>
      <c r="G214"/>
      <c r="H214" s="37"/>
      <c r="I214" s="10"/>
      <c r="J214" s="10"/>
      <c r="K214" s="10"/>
      <c r="L214" s="10"/>
      <c r="M214" s="51"/>
    </row>
    <row r="215" spans="1:13" x14ac:dyDescent="0.2">
      <c r="A215"/>
      <c r="B215"/>
      <c r="C215"/>
      <c r="D215"/>
      <c r="E215" s="7"/>
      <c r="F215"/>
      <c r="G215"/>
      <c r="H215" s="37"/>
      <c r="I215" s="10"/>
      <c r="J215" s="10"/>
      <c r="K215" s="10"/>
      <c r="L215" s="10"/>
      <c r="M215" s="51"/>
    </row>
    <row r="216" spans="1:13" x14ac:dyDescent="0.2">
      <c r="A216"/>
      <c r="B216"/>
      <c r="C216"/>
      <c r="D216"/>
      <c r="E216" s="7"/>
      <c r="F216"/>
      <c r="G216"/>
      <c r="H216" s="37"/>
      <c r="I216" s="10"/>
      <c r="J216" s="10"/>
      <c r="K216" s="10"/>
      <c r="L216" s="10"/>
      <c r="M216" s="51"/>
    </row>
    <row r="217" spans="1:13" x14ac:dyDescent="0.2">
      <c r="A217"/>
      <c r="B217"/>
      <c r="C217"/>
      <c r="D217"/>
      <c r="E217" s="7"/>
      <c r="F217"/>
      <c r="G217"/>
      <c r="H217" s="37"/>
      <c r="I217" s="10"/>
      <c r="J217" s="10"/>
      <c r="K217" s="10"/>
      <c r="L217" s="10"/>
      <c r="M217" s="51"/>
    </row>
    <row r="218" spans="1:13" x14ac:dyDescent="0.2">
      <c r="A218"/>
      <c r="B218"/>
      <c r="C218"/>
      <c r="D218"/>
      <c r="E218" s="7"/>
      <c r="F218"/>
      <c r="G218"/>
      <c r="H218" s="37"/>
      <c r="I218" s="10"/>
      <c r="J218" s="10"/>
      <c r="K218" s="10"/>
      <c r="L218" s="10"/>
      <c r="M218" s="51"/>
    </row>
    <row r="219" spans="1:13" x14ac:dyDescent="0.2">
      <c r="A219"/>
      <c r="B219"/>
      <c r="C219"/>
      <c r="D219"/>
      <c r="E219" s="7"/>
      <c r="F219"/>
      <c r="G219"/>
      <c r="H219" s="37"/>
      <c r="I219" s="10"/>
      <c r="J219" s="10"/>
      <c r="K219" s="10"/>
      <c r="L219" s="10"/>
      <c r="M219" s="51"/>
    </row>
    <row r="220" spans="1:13" x14ac:dyDescent="0.2">
      <c r="A220"/>
      <c r="B220"/>
      <c r="C220"/>
      <c r="D220"/>
      <c r="E220" s="7"/>
      <c r="F220"/>
      <c r="G220"/>
      <c r="H220" s="37"/>
      <c r="I220" s="10"/>
      <c r="J220" s="10"/>
      <c r="K220" s="10"/>
      <c r="L220" s="10"/>
      <c r="M220" s="51"/>
    </row>
    <row r="221" spans="1:13" x14ac:dyDescent="0.2">
      <c r="A221"/>
      <c r="B221"/>
      <c r="C221"/>
      <c r="D221"/>
      <c r="E221" s="7"/>
      <c r="F221"/>
      <c r="G221"/>
      <c r="H221" s="37"/>
      <c r="I221" s="10"/>
      <c r="J221" s="10"/>
      <c r="K221" s="10"/>
      <c r="L221" s="10"/>
      <c r="M221" s="51"/>
    </row>
    <row r="222" spans="1:13" x14ac:dyDescent="0.2">
      <c r="A222"/>
      <c r="B222"/>
      <c r="C222"/>
      <c r="D222"/>
      <c r="E222" s="7"/>
      <c r="F222"/>
      <c r="G222"/>
      <c r="H222" s="37"/>
      <c r="I222" s="10"/>
      <c r="J222" s="10"/>
      <c r="K222" s="10"/>
      <c r="L222" s="10"/>
      <c r="M222" s="51"/>
    </row>
    <row r="223" spans="1:13" x14ac:dyDescent="0.2">
      <c r="A223"/>
      <c r="B223"/>
      <c r="C223"/>
      <c r="D223"/>
      <c r="E223" s="7"/>
      <c r="F223"/>
      <c r="G223"/>
      <c r="H223" s="37"/>
      <c r="I223" s="10"/>
      <c r="J223" s="10"/>
      <c r="K223" s="10"/>
      <c r="L223" s="10"/>
      <c r="M223" s="51"/>
    </row>
    <row r="224" spans="1:13" x14ac:dyDescent="0.2">
      <c r="A224"/>
      <c r="B224"/>
      <c r="C224"/>
      <c r="D224"/>
      <c r="E224" s="7"/>
      <c r="F224"/>
      <c r="G224"/>
      <c r="H224" s="37"/>
      <c r="I224" s="10"/>
      <c r="J224" s="10"/>
      <c r="K224" s="10"/>
      <c r="L224" s="10"/>
      <c r="M224" s="51"/>
    </row>
    <row r="225" spans="1:13" x14ac:dyDescent="0.2">
      <c r="A225"/>
      <c r="B225"/>
      <c r="C225"/>
      <c r="D225"/>
      <c r="E225" s="7"/>
      <c r="F225"/>
      <c r="G225"/>
      <c r="H225" s="37"/>
      <c r="I225" s="10"/>
      <c r="J225" s="10"/>
      <c r="K225" s="10"/>
      <c r="L225" s="10"/>
      <c r="M225" s="51"/>
    </row>
    <row r="226" spans="1:13" x14ac:dyDescent="0.2">
      <c r="A226"/>
      <c r="B226"/>
      <c r="C226"/>
      <c r="D226"/>
      <c r="E226" s="7"/>
      <c r="F226"/>
      <c r="G226"/>
      <c r="H226" s="37"/>
      <c r="I226" s="10"/>
      <c r="J226" s="10"/>
      <c r="K226" s="10"/>
      <c r="L226" s="10"/>
      <c r="M226" s="51"/>
    </row>
    <row r="227" spans="1:13" x14ac:dyDescent="0.2">
      <c r="A227"/>
      <c r="B227"/>
      <c r="C227"/>
      <c r="D227"/>
      <c r="E227" s="7"/>
      <c r="F227"/>
      <c r="G227"/>
      <c r="H227" s="37"/>
      <c r="I227" s="10"/>
      <c r="J227" s="10"/>
      <c r="K227" s="10"/>
      <c r="L227" s="10"/>
      <c r="M227" s="51"/>
    </row>
    <row r="228" spans="1:13" x14ac:dyDescent="0.2">
      <c r="A228"/>
      <c r="B228"/>
      <c r="C228"/>
      <c r="D228"/>
      <c r="E228" s="7"/>
      <c r="F228"/>
      <c r="G228"/>
      <c r="H228" s="37"/>
      <c r="I228" s="10"/>
      <c r="J228" s="10"/>
      <c r="K228" s="10"/>
      <c r="L228" s="10"/>
      <c r="M228" s="51"/>
    </row>
    <row r="229" spans="1:13" x14ac:dyDescent="0.2">
      <c r="A229"/>
      <c r="B229"/>
      <c r="C229"/>
      <c r="D229"/>
      <c r="E229" s="7"/>
      <c r="F229"/>
      <c r="G229"/>
      <c r="H229" s="37"/>
      <c r="I229" s="10"/>
      <c r="J229" s="10"/>
      <c r="K229" s="10"/>
      <c r="L229" s="10"/>
      <c r="M229" s="51"/>
    </row>
    <row r="230" spans="1:13" x14ac:dyDescent="0.2">
      <c r="A230"/>
      <c r="B230"/>
      <c r="C230"/>
      <c r="D230"/>
      <c r="E230" s="7"/>
      <c r="F230"/>
      <c r="G230"/>
      <c r="H230" s="37"/>
      <c r="I230" s="10"/>
      <c r="J230" s="10"/>
      <c r="K230" s="10"/>
      <c r="L230" s="10"/>
      <c r="M230" s="51"/>
    </row>
    <row r="231" spans="1:13" x14ac:dyDescent="0.2">
      <c r="A231"/>
      <c r="B231"/>
      <c r="C231"/>
      <c r="D231"/>
      <c r="E231" s="7"/>
      <c r="F231"/>
      <c r="G231"/>
      <c r="H231" s="37"/>
      <c r="I231" s="10"/>
      <c r="J231" s="10"/>
      <c r="K231" s="10"/>
      <c r="L231" s="10"/>
      <c r="M231" s="51"/>
    </row>
    <row r="232" spans="1:13" x14ac:dyDescent="0.2">
      <c r="A232"/>
      <c r="B232"/>
      <c r="C232"/>
      <c r="D232"/>
      <c r="E232" s="7"/>
      <c r="F232"/>
      <c r="G232"/>
      <c r="H232" s="37"/>
      <c r="I232" s="10"/>
      <c r="J232" s="10"/>
      <c r="K232" s="10"/>
      <c r="L232" s="10"/>
      <c r="M232" s="51"/>
    </row>
    <row r="233" spans="1:13" x14ac:dyDescent="0.2">
      <c r="A233"/>
      <c r="B233"/>
      <c r="C233"/>
      <c r="D233"/>
      <c r="E233" s="7"/>
      <c r="F233"/>
      <c r="G233"/>
      <c r="H233" s="37"/>
      <c r="I233" s="10"/>
      <c r="J233" s="10"/>
      <c r="K233" s="10"/>
      <c r="L233" s="10"/>
      <c r="M233" s="51"/>
    </row>
    <row r="234" spans="1:13" x14ac:dyDescent="0.2">
      <c r="A234"/>
      <c r="B234"/>
      <c r="C234"/>
      <c r="D234"/>
      <c r="E234" s="7"/>
      <c r="F234"/>
      <c r="G234"/>
      <c r="H234" s="37"/>
      <c r="I234" s="10"/>
      <c r="J234" s="10"/>
      <c r="K234" s="10"/>
      <c r="L234" s="10"/>
      <c r="M234" s="51"/>
    </row>
    <row r="235" spans="1:13" x14ac:dyDescent="0.2">
      <c r="A235"/>
      <c r="B235"/>
      <c r="C235"/>
      <c r="D235"/>
      <c r="E235" s="7"/>
      <c r="F235"/>
      <c r="G235"/>
      <c r="H235" s="37"/>
      <c r="I235" s="10"/>
      <c r="J235" s="10"/>
      <c r="K235" s="10"/>
      <c r="L235" s="10"/>
      <c r="M235" s="51"/>
    </row>
    <row r="236" spans="1:13" x14ac:dyDescent="0.2">
      <c r="A236"/>
      <c r="B236"/>
      <c r="C236"/>
      <c r="D236"/>
      <c r="E236" s="7"/>
      <c r="F236"/>
      <c r="G236"/>
      <c r="H236" s="37"/>
      <c r="I236" s="10"/>
      <c r="J236" s="10"/>
      <c r="K236" s="10"/>
      <c r="L236" s="10"/>
      <c r="M236" s="51"/>
    </row>
    <row r="237" spans="1:13" x14ac:dyDescent="0.2">
      <c r="A237"/>
      <c r="B237"/>
      <c r="C237"/>
      <c r="D237"/>
      <c r="E237" s="7"/>
      <c r="F237"/>
      <c r="G237"/>
      <c r="H237" s="37"/>
      <c r="I237" s="10"/>
      <c r="J237" s="10"/>
      <c r="K237" s="10"/>
      <c r="L237" s="10"/>
      <c r="M237" s="51"/>
    </row>
    <row r="238" spans="1:13" x14ac:dyDescent="0.2">
      <c r="A238"/>
      <c r="B238"/>
      <c r="C238"/>
      <c r="D238"/>
      <c r="E238" s="7"/>
      <c r="F238"/>
      <c r="G238"/>
      <c r="H238" s="37"/>
      <c r="I238" s="10"/>
      <c r="J238" s="10"/>
      <c r="K238" s="10"/>
      <c r="L238" s="10"/>
      <c r="M238" s="51"/>
    </row>
    <row r="239" spans="1:13" x14ac:dyDescent="0.2">
      <c r="A239"/>
      <c r="B239"/>
      <c r="C239"/>
      <c r="D239"/>
      <c r="E239" s="7"/>
      <c r="F239"/>
      <c r="G239"/>
      <c r="H239" s="37"/>
      <c r="I239" s="10"/>
      <c r="J239" s="10"/>
      <c r="K239" s="10"/>
      <c r="L239" s="10"/>
      <c r="M239" s="51"/>
    </row>
    <row r="240" spans="1:13" x14ac:dyDescent="0.2">
      <c r="A240"/>
      <c r="B240"/>
      <c r="C240"/>
      <c r="D240"/>
      <c r="E240" s="7"/>
      <c r="F240"/>
      <c r="G240"/>
      <c r="H240" s="37"/>
      <c r="I240" s="10"/>
      <c r="J240" s="10"/>
      <c r="K240" s="10"/>
      <c r="L240" s="10"/>
      <c r="M240" s="51"/>
    </row>
  </sheetData>
  <autoFilter ref="A1:M240"/>
  <pageMargins left="0.75" right="0.75" top="1" bottom="1" header="0.5" footer="0.5"/>
  <pageSetup scale="73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237"/>
  <sheetViews>
    <sheetView topLeftCell="B1" zoomScale="120" zoomScaleNormal="120" workbookViewId="0">
      <pane ySplit="1" topLeftCell="A23" activePane="bottomLeft" state="frozen"/>
      <selection activeCell="L2" sqref="L2"/>
      <selection pane="bottomLeft" activeCell="B41" sqref="A41:XFD41"/>
    </sheetView>
  </sheetViews>
  <sheetFormatPr defaultColWidth="9.140625" defaultRowHeight="12.75" x14ac:dyDescent="0.2"/>
  <cols>
    <col min="1" max="1" width="10.140625" style="3" customWidth="1"/>
    <col min="2" max="2" width="25.7109375" style="3" customWidth="1"/>
    <col min="3" max="3" width="10.85546875" style="3" bestFit="1" customWidth="1"/>
    <col min="4" max="4" width="13.7109375" style="3" customWidth="1"/>
    <col min="5" max="5" width="11.42578125" style="8" customWidth="1"/>
    <col min="6" max="7" width="8" style="3" customWidth="1"/>
    <col min="8" max="8" width="8" style="38" customWidth="1"/>
    <col min="9" max="9" width="10.5703125" style="11" customWidth="1"/>
    <col min="10" max="10" width="15.28515625" style="11" customWidth="1"/>
    <col min="11" max="11" width="9.140625" style="11" customWidth="1"/>
    <col min="12" max="12" width="8" style="11" customWidth="1"/>
    <col min="13" max="13" width="116.28515625" style="82" customWidth="1"/>
    <col min="14" max="14" width="27.85546875" style="14" bestFit="1" customWidth="1"/>
    <col min="15" max="16384" width="9.140625" style="3"/>
  </cols>
  <sheetData>
    <row r="1" spans="1:14" s="1" customFormat="1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1" t="s">
        <v>5</v>
      </c>
      <c r="G1" s="1" t="s">
        <v>6</v>
      </c>
      <c r="H1" s="36" t="s">
        <v>7</v>
      </c>
      <c r="I1" s="30" t="s">
        <v>8</v>
      </c>
      <c r="J1" s="30" t="s">
        <v>9</v>
      </c>
      <c r="K1" s="16" t="s">
        <v>10</v>
      </c>
      <c r="L1" s="16" t="s">
        <v>11</v>
      </c>
      <c r="M1" s="77" t="s">
        <v>12</v>
      </c>
      <c r="N1" s="13"/>
    </row>
    <row r="2" spans="1:14" x14ac:dyDescent="0.2">
      <c r="A2" s="18" t="s">
        <v>183</v>
      </c>
      <c r="B2" t="s">
        <v>171</v>
      </c>
      <c r="C2" s="5">
        <v>43726</v>
      </c>
      <c r="D2" s="2" t="s">
        <v>44</v>
      </c>
      <c r="E2" s="7">
        <v>14812</v>
      </c>
      <c r="F2"/>
      <c r="G2"/>
      <c r="H2" s="53">
        <f>0.2455-0.945</f>
        <v>-0.69950000000000001</v>
      </c>
      <c r="I2" s="33"/>
      <c r="J2" s="14"/>
      <c r="K2" s="24"/>
      <c r="L2" s="47">
        <f>-(941-36)</f>
        <v>-905</v>
      </c>
      <c r="M2" s="2" t="s">
        <v>45</v>
      </c>
      <c r="N2" s="3"/>
    </row>
    <row r="3" spans="1:14" x14ac:dyDescent="0.2">
      <c r="A3" s="18" t="s">
        <v>183</v>
      </c>
      <c r="B3" t="s">
        <v>171</v>
      </c>
      <c r="C3" s="5">
        <v>43726</v>
      </c>
      <c r="D3" s="2" t="s">
        <v>46</v>
      </c>
      <c r="E3" s="7">
        <v>13390036</v>
      </c>
      <c r="F3"/>
      <c r="G3"/>
      <c r="H3" s="53">
        <f>-0.4274-0.09</f>
        <v>-0.51739999999999997</v>
      </c>
      <c r="I3" s="10"/>
      <c r="J3" s="10"/>
      <c r="K3" s="10"/>
      <c r="L3" s="10"/>
      <c r="M3" s="51" t="s">
        <v>47</v>
      </c>
    </row>
    <row r="4" spans="1:14" x14ac:dyDescent="0.2">
      <c r="A4" s="18" t="s">
        <v>183</v>
      </c>
      <c r="B4" t="s">
        <v>171</v>
      </c>
      <c r="C4" s="5">
        <v>43726</v>
      </c>
      <c r="D4" s="2" t="s">
        <v>23</v>
      </c>
      <c r="E4" s="12"/>
      <c r="F4"/>
      <c r="G4"/>
      <c r="H4" s="53">
        <v>-1.1153</v>
      </c>
      <c r="I4" s="10"/>
      <c r="J4" s="10"/>
      <c r="K4" s="10"/>
      <c r="L4" s="10"/>
      <c r="M4" s="51"/>
    </row>
    <row r="5" spans="1:14" x14ac:dyDescent="0.2">
      <c r="A5" s="18" t="s">
        <v>183</v>
      </c>
      <c r="B5" t="s">
        <v>171</v>
      </c>
      <c r="C5" s="5">
        <v>43726</v>
      </c>
      <c r="D5" s="2" t="s">
        <v>21</v>
      </c>
      <c r="E5" s="12"/>
      <c r="F5">
        <v>150915</v>
      </c>
      <c r="G5">
        <v>522094</v>
      </c>
      <c r="H5" s="53">
        <v>1.6766000000000001</v>
      </c>
      <c r="I5" s="10"/>
      <c r="J5" s="10"/>
      <c r="K5" s="10"/>
      <c r="L5" s="10"/>
      <c r="M5" s="51"/>
    </row>
    <row r="6" spans="1:14" x14ac:dyDescent="0.2">
      <c r="A6" s="18" t="s">
        <v>183</v>
      </c>
      <c r="B6" t="s">
        <v>171</v>
      </c>
      <c r="C6" s="5">
        <v>43747</v>
      </c>
      <c r="D6" s="2" t="s">
        <v>44</v>
      </c>
      <c r="E6" s="7">
        <v>14812</v>
      </c>
      <c r="F6"/>
      <c r="G6"/>
      <c r="H6" s="53">
        <f>0.1964-0.945</f>
        <v>-0.74859999999999993</v>
      </c>
      <c r="I6" s="10"/>
      <c r="J6" s="10"/>
      <c r="K6" s="10"/>
      <c r="L6" s="47">
        <f>-(941-36)</f>
        <v>-905</v>
      </c>
      <c r="M6" s="46" t="s">
        <v>184</v>
      </c>
    </row>
    <row r="7" spans="1:14" x14ac:dyDescent="0.2">
      <c r="A7" s="18" t="s">
        <v>183</v>
      </c>
      <c r="B7" t="s">
        <v>171</v>
      </c>
      <c r="C7" s="5">
        <v>43747</v>
      </c>
      <c r="D7" s="2" t="s">
        <v>46</v>
      </c>
      <c r="E7" s="7">
        <v>13390036</v>
      </c>
      <c r="F7"/>
      <c r="G7"/>
      <c r="H7" s="53">
        <f>-0.479-0.09</f>
        <v>-0.56899999999999995</v>
      </c>
      <c r="I7" s="10"/>
      <c r="J7" s="10"/>
      <c r="K7" s="10"/>
      <c r="L7" s="10"/>
      <c r="M7" s="46">
        <f>-0.479-0.09</f>
        <v>-0.56899999999999995</v>
      </c>
    </row>
    <row r="8" spans="1:14" x14ac:dyDescent="0.2">
      <c r="A8" s="18" t="s">
        <v>183</v>
      </c>
      <c r="B8" t="s">
        <v>171</v>
      </c>
      <c r="C8" s="5">
        <v>43747</v>
      </c>
      <c r="D8" s="2" t="s">
        <v>23</v>
      </c>
      <c r="E8" s="12"/>
      <c r="F8"/>
      <c r="G8"/>
      <c r="H8" s="53">
        <v>-1.1153</v>
      </c>
      <c r="I8" s="10"/>
      <c r="J8" s="10"/>
      <c r="K8" s="10"/>
      <c r="L8" s="10"/>
      <c r="M8" s="46">
        <v>-1.123</v>
      </c>
    </row>
    <row r="9" spans="1:14" x14ac:dyDescent="0.2">
      <c r="A9" s="18" t="s">
        <v>183</v>
      </c>
      <c r="B9" t="s">
        <v>171</v>
      </c>
      <c r="C9" s="5">
        <v>43747</v>
      </c>
      <c r="D9" s="2" t="s">
        <v>21</v>
      </c>
      <c r="E9" s="12"/>
      <c r="F9">
        <v>150915</v>
      </c>
      <c r="G9">
        <v>522094</v>
      </c>
      <c r="H9" s="53">
        <v>1.6347</v>
      </c>
      <c r="I9" s="10"/>
      <c r="J9" s="10"/>
      <c r="K9" s="10"/>
      <c r="L9" s="10"/>
      <c r="M9" s="46">
        <v>1.6347</v>
      </c>
    </row>
    <row r="10" spans="1:14" x14ac:dyDescent="0.2">
      <c r="A10" s="18" t="s">
        <v>183</v>
      </c>
      <c r="B10" t="s">
        <v>171</v>
      </c>
      <c r="C10" s="43">
        <v>43780</v>
      </c>
      <c r="D10" s="2" t="s">
        <v>44</v>
      </c>
      <c r="E10" s="7">
        <v>14812</v>
      </c>
      <c r="F10"/>
      <c r="G10"/>
      <c r="H10" s="53">
        <f>0.1964-0.945</f>
        <v>-0.74859999999999993</v>
      </c>
      <c r="I10" s="10"/>
      <c r="J10" s="10"/>
      <c r="K10" s="10"/>
      <c r="L10" s="93">
        <f>-(941-36-19)</f>
        <v>-886</v>
      </c>
      <c r="M10" s="90" t="s">
        <v>185</v>
      </c>
    </row>
    <row r="11" spans="1:14" x14ac:dyDescent="0.2">
      <c r="A11" s="18" t="s">
        <v>183</v>
      </c>
      <c r="B11" t="s">
        <v>171</v>
      </c>
      <c r="C11" s="43">
        <v>43780</v>
      </c>
      <c r="D11" s="2" t="s">
        <v>46</v>
      </c>
      <c r="E11" s="7">
        <v>13390036</v>
      </c>
      <c r="F11"/>
      <c r="G11"/>
      <c r="H11" s="53">
        <f>-0.479-0.09</f>
        <v>-0.56899999999999995</v>
      </c>
      <c r="I11" s="10"/>
      <c r="J11" s="10"/>
      <c r="K11" s="10"/>
      <c r="L11" s="10"/>
      <c r="M11" s="46">
        <f>-0.4736-0.09</f>
        <v>-0.56359999999999999</v>
      </c>
    </row>
    <row r="12" spans="1:14" x14ac:dyDescent="0.2">
      <c r="A12" s="18" t="s">
        <v>183</v>
      </c>
      <c r="B12" t="s">
        <v>171</v>
      </c>
      <c r="C12" s="43">
        <v>43780</v>
      </c>
      <c r="D12" s="2" t="s">
        <v>23</v>
      </c>
      <c r="E12" s="12"/>
      <c r="F12"/>
      <c r="G12"/>
      <c r="H12" s="53">
        <v>-1.0128999999999999</v>
      </c>
      <c r="I12" s="10"/>
      <c r="J12" s="10"/>
      <c r="K12" s="10"/>
      <c r="L12" s="10"/>
      <c r="M12" s="46">
        <v>-1.0128999999999999</v>
      </c>
    </row>
    <row r="13" spans="1:14" x14ac:dyDescent="0.2">
      <c r="A13" s="18" t="s">
        <v>183</v>
      </c>
      <c r="B13" t="s">
        <v>171</v>
      </c>
      <c r="C13" s="43">
        <v>43780</v>
      </c>
      <c r="D13" s="2" t="s">
        <v>21</v>
      </c>
      <c r="E13" s="12"/>
      <c r="F13">
        <v>150915</v>
      </c>
      <c r="G13">
        <v>522094</v>
      </c>
      <c r="H13" s="37">
        <v>1.6347</v>
      </c>
      <c r="I13" s="10"/>
      <c r="J13" s="10"/>
      <c r="K13" s="10"/>
      <c r="L13" s="10"/>
      <c r="M13" s="46">
        <v>1.6508</v>
      </c>
    </row>
    <row r="14" spans="1:14" x14ac:dyDescent="0.2">
      <c r="A14" s="18" t="s">
        <v>183</v>
      </c>
      <c r="B14" t="s">
        <v>171</v>
      </c>
      <c r="C14" s="43">
        <v>43802</v>
      </c>
      <c r="D14" s="2" t="s">
        <v>44</v>
      </c>
      <c r="E14" s="7">
        <v>14812</v>
      </c>
      <c r="F14"/>
      <c r="G14"/>
      <c r="H14" s="53">
        <f>0.1964-0.945</f>
        <v>-0.74859999999999993</v>
      </c>
      <c r="I14" s="10"/>
      <c r="J14" s="10"/>
      <c r="K14" s="10"/>
      <c r="L14" s="98">
        <f>-(941-36-19)</f>
        <v>-886</v>
      </c>
      <c r="M14" s="45">
        <f>0.1981-0.945</f>
        <v>-0.7468999999999999</v>
      </c>
    </row>
    <row r="15" spans="1:14" x14ac:dyDescent="0.2">
      <c r="A15" s="18" t="s">
        <v>183</v>
      </c>
      <c r="B15" t="s">
        <v>171</v>
      </c>
      <c r="C15" s="43">
        <v>43802</v>
      </c>
      <c r="D15" s="2" t="s">
        <v>46</v>
      </c>
      <c r="E15" s="7">
        <v>13390036</v>
      </c>
      <c r="F15"/>
      <c r="G15"/>
      <c r="H15" s="53">
        <f>-0.479-0.09</f>
        <v>-0.56899999999999995</v>
      </c>
      <c r="I15" s="10"/>
      <c r="J15" s="10"/>
      <c r="K15" s="10"/>
      <c r="L15" s="10"/>
      <c r="M15" s="46">
        <f>-0.4713-0.1</f>
        <v>-0.57130000000000003</v>
      </c>
    </row>
    <row r="16" spans="1:14" x14ac:dyDescent="0.2">
      <c r="A16" s="18" t="s">
        <v>183</v>
      </c>
      <c r="B16" t="s">
        <v>171</v>
      </c>
      <c r="C16" s="43">
        <v>43802</v>
      </c>
      <c r="D16" s="2" t="s">
        <v>23</v>
      </c>
      <c r="E16" s="12"/>
      <c r="F16"/>
      <c r="G16"/>
      <c r="H16" s="37">
        <v>-0.9627</v>
      </c>
      <c r="I16" s="10"/>
      <c r="J16" s="10"/>
      <c r="K16" s="10"/>
      <c r="L16" s="10"/>
      <c r="M16" s="46">
        <v>-0.9627</v>
      </c>
    </row>
    <row r="17" spans="1:13" x14ac:dyDescent="0.2">
      <c r="A17" s="18" t="s">
        <v>183</v>
      </c>
      <c r="B17" t="s">
        <v>171</v>
      </c>
      <c r="C17" s="43">
        <v>43802</v>
      </c>
      <c r="D17" s="2" t="s">
        <v>21</v>
      </c>
      <c r="E17" s="12"/>
      <c r="F17">
        <v>150915</v>
      </c>
      <c r="G17">
        <v>522094</v>
      </c>
      <c r="H17" s="37">
        <v>1.6347</v>
      </c>
      <c r="I17" s="10"/>
      <c r="J17" s="10"/>
      <c r="K17" s="10"/>
      <c r="L17" s="10"/>
      <c r="M17" s="46">
        <v>1.6458999999999999</v>
      </c>
    </row>
    <row r="18" spans="1:13" x14ac:dyDescent="0.2">
      <c r="A18" s="18" t="s">
        <v>183</v>
      </c>
      <c r="B18" t="s">
        <v>171</v>
      </c>
      <c r="C18" s="43">
        <v>43838</v>
      </c>
      <c r="D18" s="2" t="s">
        <v>44</v>
      </c>
      <c r="E18" s="7">
        <v>14812</v>
      </c>
      <c r="F18"/>
      <c r="G18"/>
      <c r="H18" s="53">
        <f>0.1509-0.945</f>
        <v>-0.79409999999999992</v>
      </c>
      <c r="I18" s="10"/>
      <c r="J18" s="10"/>
      <c r="K18" s="10"/>
      <c r="L18" s="98">
        <f>-(941-36-19)</f>
        <v>-886</v>
      </c>
      <c r="M18" s="45">
        <f>0.1509-0.945</f>
        <v>-0.79409999999999992</v>
      </c>
    </row>
    <row r="19" spans="1:13" x14ac:dyDescent="0.2">
      <c r="A19" s="18" t="s">
        <v>183</v>
      </c>
      <c r="B19" t="s">
        <v>171</v>
      </c>
      <c r="C19" s="43">
        <v>43838</v>
      </c>
      <c r="D19" s="2" t="s">
        <v>46</v>
      </c>
      <c r="E19" s="7">
        <v>13390036</v>
      </c>
      <c r="F19"/>
      <c r="G19"/>
      <c r="H19" s="53">
        <v>-0.59199999999999997</v>
      </c>
      <c r="I19" s="10"/>
      <c r="J19" s="10"/>
      <c r="K19" s="10"/>
      <c r="L19" s="10"/>
      <c r="M19" s="46">
        <f>-0.492-0.1</f>
        <v>-0.59199999999999997</v>
      </c>
    </row>
    <row r="20" spans="1:13" x14ac:dyDescent="0.2">
      <c r="A20" s="18" t="s">
        <v>183</v>
      </c>
      <c r="B20" t="s">
        <v>171</v>
      </c>
      <c r="C20" s="43">
        <v>43838</v>
      </c>
      <c r="D20" s="2" t="s">
        <v>23</v>
      </c>
      <c r="E20" s="12"/>
      <c r="F20"/>
      <c r="G20"/>
      <c r="H20" s="37">
        <v>-0.99160000000000004</v>
      </c>
      <c r="I20" s="10"/>
      <c r="J20" s="10"/>
      <c r="K20" s="10"/>
      <c r="L20" s="10"/>
      <c r="M20" s="46">
        <v>-0.99160000000000004</v>
      </c>
    </row>
    <row r="21" spans="1:13" x14ac:dyDescent="0.2">
      <c r="A21" s="18" t="s">
        <v>183</v>
      </c>
      <c r="B21" t="s">
        <v>171</v>
      </c>
      <c r="C21" s="43">
        <v>43838</v>
      </c>
      <c r="D21" s="2" t="s">
        <v>21</v>
      </c>
      <c r="E21" s="12"/>
      <c r="F21">
        <v>150915</v>
      </c>
      <c r="G21">
        <v>522094</v>
      </c>
      <c r="H21" s="37">
        <v>1.6184000000000001</v>
      </c>
      <c r="I21" s="10"/>
      <c r="J21" s="10"/>
      <c r="K21" s="10"/>
      <c r="L21" s="10"/>
      <c r="M21" s="46">
        <v>1.6184000000000001</v>
      </c>
    </row>
    <row r="22" spans="1:13" x14ac:dyDescent="0.2">
      <c r="A22" s="18" t="s">
        <v>183</v>
      </c>
      <c r="B22" t="s">
        <v>171</v>
      </c>
      <c r="C22" s="43">
        <v>43858</v>
      </c>
      <c r="D22" s="2" t="s">
        <v>44</v>
      </c>
      <c r="E22" s="7">
        <v>14812</v>
      </c>
      <c r="F22"/>
      <c r="G22"/>
      <c r="H22" s="53">
        <f>0.1188-0.945</f>
        <v>-0.82619999999999993</v>
      </c>
      <c r="I22" s="10"/>
      <c r="J22" s="10"/>
      <c r="K22" s="10"/>
      <c r="L22" s="98">
        <f>-(941-36-19)</f>
        <v>-886</v>
      </c>
      <c r="M22" s="45">
        <f>0.1188-0.945</f>
        <v>-0.82619999999999993</v>
      </c>
    </row>
    <row r="23" spans="1:13" x14ac:dyDescent="0.2">
      <c r="A23" s="18" t="s">
        <v>183</v>
      </c>
      <c r="B23" t="s">
        <v>171</v>
      </c>
      <c r="C23" s="43">
        <v>43858</v>
      </c>
      <c r="D23" s="2" t="s">
        <v>46</v>
      </c>
      <c r="E23" s="7">
        <v>13390036</v>
      </c>
      <c r="F23"/>
      <c r="G23"/>
      <c r="H23" s="37">
        <f>-0.5211-0.1</f>
        <v>-0.62109999999999999</v>
      </c>
      <c r="I23" s="10"/>
      <c r="J23" s="10"/>
      <c r="K23" s="10"/>
      <c r="L23" s="10"/>
      <c r="M23" s="46">
        <f>-0.5211-0.1</f>
        <v>-0.62109999999999999</v>
      </c>
    </row>
    <row r="24" spans="1:13" x14ac:dyDescent="0.2">
      <c r="A24" s="18" t="s">
        <v>183</v>
      </c>
      <c r="B24" t="s">
        <v>171</v>
      </c>
      <c r="C24" s="43">
        <v>43858</v>
      </c>
      <c r="D24" s="2" t="s">
        <v>23</v>
      </c>
      <c r="E24" s="12"/>
      <c r="F24"/>
      <c r="G24"/>
      <c r="H24" s="37">
        <v>-0.98070000000000002</v>
      </c>
      <c r="I24" s="10"/>
      <c r="J24" s="10"/>
      <c r="K24" s="10"/>
      <c r="L24" s="10"/>
      <c r="M24" s="46">
        <v>-0.98070000000000002</v>
      </c>
    </row>
    <row r="25" spans="1:13" x14ac:dyDescent="0.2">
      <c r="A25" s="18" t="s">
        <v>183</v>
      </c>
      <c r="B25" t="s">
        <v>171</v>
      </c>
      <c r="C25" s="43">
        <v>43858</v>
      </c>
      <c r="D25" s="2" t="s">
        <v>21</v>
      </c>
      <c r="E25" s="12"/>
      <c r="F25">
        <v>150915</v>
      </c>
      <c r="G25">
        <v>522094</v>
      </c>
      <c r="H25" s="37">
        <v>1.5542</v>
      </c>
      <c r="I25" s="10"/>
      <c r="J25" s="10"/>
      <c r="K25" s="10"/>
      <c r="L25" s="10"/>
      <c r="M25" s="46">
        <v>1.5542</v>
      </c>
    </row>
    <row r="26" spans="1:13" x14ac:dyDescent="0.2">
      <c r="A26" s="18" t="s">
        <v>183</v>
      </c>
      <c r="B26" t="s">
        <v>171</v>
      </c>
      <c r="C26" s="43">
        <v>43888</v>
      </c>
      <c r="D26" s="2" t="s">
        <v>44</v>
      </c>
      <c r="E26" s="7">
        <v>14812</v>
      </c>
      <c r="F26"/>
      <c r="G26"/>
      <c r="H26" s="53">
        <v>-0.81879999999999997</v>
      </c>
      <c r="I26" s="10"/>
      <c r="J26" s="10"/>
      <c r="K26" s="10"/>
      <c r="L26" s="98">
        <f>-(941-36-19)</f>
        <v>-886</v>
      </c>
      <c r="M26" s="45">
        <f>0.1262-0.945</f>
        <v>-0.81879999999999997</v>
      </c>
    </row>
    <row r="27" spans="1:13" x14ac:dyDescent="0.2">
      <c r="A27" s="18" t="s">
        <v>183</v>
      </c>
      <c r="B27" t="s">
        <v>171</v>
      </c>
      <c r="C27" s="43">
        <v>43888</v>
      </c>
      <c r="D27" s="2" t="s">
        <v>46</v>
      </c>
      <c r="E27" s="7">
        <v>13390036</v>
      </c>
      <c r="F27"/>
      <c r="G27"/>
      <c r="H27" s="37">
        <f>-0.5211-0.1</f>
        <v>-0.62109999999999999</v>
      </c>
      <c r="I27" s="10"/>
      <c r="J27" s="10"/>
      <c r="K27" s="10"/>
      <c r="L27" s="10"/>
      <c r="M27" s="46" t="s">
        <v>80</v>
      </c>
    </row>
    <row r="28" spans="1:13" x14ac:dyDescent="0.2">
      <c r="A28" s="18" t="s">
        <v>183</v>
      </c>
      <c r="B28" t="s">
        <v>171</v>
      </c>
      <c r="C28" s="43">
        <v>43888</v>
      </c>
      <c r="D28" s="2" t="s">
        <v>23</v>
      </c>
      <c r="E28" s="12"/>
      <c r="F28"/>
      <c r="G28"/>
      <c r="H28" s="37">
        <v>-1.0104</v>
      </c>
      <c r="I28" s="10"/>
      <c r="J28" s="10"/>
      <c r="K28" s="10"/>
      <c r="L28" s="10"/>
      <c r="M28" s="46">
        <v>-1.0104</v>
      </c>
    </row>
    <row r="29" spans="1:13" x14ac:dyDescent="0.2">
      <c r="A29" s="18" t="s">
        <v>183</v>
      </c>
      <c r="B29" t="s">
        <v>171</v>
      </c>
      <c r="C29" s="43">
        <v>43888</v>
      </c>
      <c r="D29" s="2" t="s">
        <v>21</v>
      </c>
      <c r="E29" s="12"/>
      <c r="F29">
        <v>150915</v>
      </c>
      <c r="G29">
        <v>522094</v>
      </c>
      <c r="H29" s="37">
        <v>1.593</v>
      </c>
      <c r="I29" s="10"/>
      <c r="J29" s="10"/>
      <c r="K29" s="10"/>
      <c r="L29" s="10"/>
      <c r="M29" s="46">
        <v>1.593</v>
      </c>
    </row>
    <row r="30" spans="1:13" x14ac:dyDescent="0.2">
      <c r="A30" s="18" t="s">
        <v>183</v>
      </c>
      <c r="B30" t="s">
        <v>171</v>
      </c>
      <c r="C30" s="43">
        <v>43914</v>
      </c>
      <c r="D30" s="2" t="s">
        <v>44</v>
      </c>
      <c r="E30" s="7">
        <v>14812</v>
      </c>
      <c r="F30"/>
      <c r="G30"/>
      <c r="H30" s="53">
        <v>-0.80319999999999991</v>
      </c>
      <c r="I30" s="10"/>
      <c r="J30" s="10"/>
      <c r="K30" s="10"/>
      <c r="L30" s="98">
        <f>-(941-36-19)</f>
        <v>-886</v>
      </c>
      <c r="M30" s="74" t="s">
        <v>186</v>
      </c>
    </row>
    <row r="31" spans="1:13" x14ac:dyDescent="0.2">
      <c r="A31" s="18" t="s">
        <v>183</v>
      </c>
      <c r="B31" t="s">
        <v>171</v>
      </c>
      <c r="C31" s="43">
        <v>43914</v>
      </c>
      <c r="D31" s="2" t="s">
        <v>46</v>
      </c>
      <c r="E31" s="7">
        <v>13390036</v>
      </c>
      <c r="F31"/>
      <c r="G31"/>
      <c r="H31" s="37">
        <f>-0.5688-0.1</f>
        <v>-0.66879999999999995</v>
      </c>
      <c r="I31" s="10"/>
      <c r="J31" s="10"/>
      <c r="K31" s="10"/>
      <c r="L31" s="10"/>
      <c r="M31" s="46">
        <f>-0.5688-0.1</f>
        <v>-0.66879999999999995</v>
      </c>
    </row>
    <row r="32" spans="1:13" x14ac:dyDescent="0.2">
      <c r="A32" s="18" t="s">
        <v>183</v>
      </c>
      <c r="B32" t="s">
        <v>171</v>
      </c>
      <c r="C32" s="43">
        <v>43914</v>
      </c>
      <c r="D32" s="2" t="s">
        <v>23</v>
      </c>
      <c r="E32" s="12"/>
      <c r="F32"/>
      <c r="G32"/>
      <c r="H32" s="37">
        <v>-1.1016999999999999</v>
      </c>
      <c r="I32" s="10"/>
      <c r="J32" s="10"/>
      <c r="K32" s="10"/>
      <c r="L32" s="10"/>
      <c r="M32" s="46">
        <v>-1.1016999999999999</v>
      </c>
    </row>
    <row r="33" spans="1:14" x14ac:dyDescent="0.2">
      <c r="A33" s="18" t="s">
        <v>183</v>
      </c>
      <c r="B33" t="s">
        <v>171</v>
      </c>
      <c r="C33" s="43">
        <v>43914</v>
      </c>
      <c r="D33" s="2" t="s">
        <v>21</v>
      </c>
      <c r="E33" s="12"/>
      <c r="F33">
        <v>150915</v>
      </c>
      <c r="G33">
        <v>522094</v>
      </c>
      <c r="H33" s="37">
        <v>1.593</v>
      </c>
      <c r="I33" s="10"/>
      <c r="J33" s="10"/>
      <c r="K33" s="10"/>
      <c r="L33" s="10"/>
      <c r="M33" s="46">
        <v>1.5931999999999999</v>
      </c>
    </row>
    <row r="34" spans="1:14" x14ac:dyDescent="0.2">
      <c r="A34" s="18" t="s">
        <v>183</v>
      </c>
      <c r="B34" t="s">
        <v>171</v>
      </c>
      <c r="C34" s="43">
        <v>43944</v>
      </c>
      <c r="D34" s="2" t="s">
        <v>44</v>
      </c>
      <c r="E34" s="7">
        <v>14812</v>
      </c>
      <c r="F34"/>
      <c r="G34"/>
      <c r="H34" s="53">
        <v>-0.80319999999999991</v>
      </c>
      <c r="I34" s="10"/>
      <c r="J34" s="10"/>
      <c r="K34" s="10"/>
      <c r="L34" s="93">
        <f>-(941-36-19-38)</f>
        <v>-848</v>
      </c>
      <c r="M34" s="74">
        <f>0.119-0.945</f>
        <v>-0.82599999999999996</v>
      </c>
    </row>
    <row r="35" spans="1:14" x14ac:dyDescent="0.2">
      <c r="A35" s="18" t="s">
        <v>183</v>
      </c>
      <c r="B35" t="s">
        <v>171</v>
      </c>
      <c r="C35" s="43">
        <v>43944</v>
      </c>
      <c r="D35" s="2" t="s">
        <v>46</v>
      </c>
      <c r="E35" s="7">
        <v>13390036</v>
      </c>
      <c r="F35"/>
      <c r="G35"/>
      <c r="H35" s="37">
        <v>-0.64529999999999998</v>
      </c>
      <c r="I35" s="10"/>
      <c r="J35" s="10"/>
      <c r="K35" s="10"/>
      <c r="L35" s="10"/>
      <c r="M35" s="46">
        <f>-0.5453-0.1</f>
        <v>-0.64529999999999998</v>
      </c>
    </row>
    <row r="36" spans="1:14" x14ac:dyDescent="0.2">
      <c r="A36" s="18" t="s">
        <v>183</v>
      </c>
      <c r="B36" t="s">
        <v>171</v>
      </c>
      <c r="C36" s="43">
        <v>43944</v>
      </c>
      <c r="D36" s="2" t="s">
        <v>23</v>
      </c>
      <c r="E36" s="12"/>
      <c r="F36"/>
      <c r="G36"/>
      <c r="H36" s="37">
        <v>-1.1787000000000001</v>
      </c>
      <c r="I36" s="10"/>
      <c r="J36" s="10"/>
      <c r="K36" s="10"/>
      <c r="L36" s="10"/>
      <c r="M36" s="46">
        <v>-1.1787000000000001</v>
      </c>
    </row>
    <row r="37" spans="1:14" x14ac:dyDescent="0.2">
      <c r="A37" s="18" t="s">
        <v>183</v>
      </c>
      <c r="B37" t="s">
        <v>171</v>
      </c>
      <c r="C37" s="43">
        <v>43944</v>
      </c>
      <c r="D37" s="2" t="s">
        <v>21</v>
      </c>
      <c r="E37" s="12"/>
      <c r="F37">
        <v>150915</v>
      </c>
      <c r="G37">
        <v>522094</v>
      </c>
      <c r="H37" s="37">
        <v>1.5760000000000001</v>
      </c>
      <c r="I37" s="10"/>
      <c r="J37" s="10"/>
      <c r="K37" s="10"/>
      <c r="L37" s="10"/>
      <c r="M37" s="46">
        <v>1.5760000000000001</v>
      </c>
    </row>
    <row r="38" spans="1:14" x14ac:dyDescent="0.2">
      <c r="A38" s="18" t="s">
        <v>183</v>
      </c>
      <c r="B38" t="s">
        <v>171</v>
      </c>
      <c r="C38" s="43">
        <v>43970</v>
      </c>
      <c r="D38" s="2" t="s">
        <v>44</v>
      </c>
      <c r="E38" s="7">
        <v>14812</v>
      </c>
      <c r="F38"/>
      <c r="G38"/>
      <c r="H38" s="53">
        <v>-0.80319999999999991</v>
      </c>
      <c r="I38" s="10"/>
      <c r="J38" s="10"/>
      <c r="K38" s="10"/>
      <c r="L38" s="98">
        <f>-(941-36-19-38)</f>
        <v>-848</v>
      </c>
      <c r="M38" s="74">
        <f>0.1444-0.945</f>
        <v>-0.80059999999999998</v>
      </c>
    </row>
    <row r="39" spans="1:14" x14ac:dyDescent="0.2">
      <c r="A39" s="18" t="s">
        <v>183</v>
      </c>
      <c r="B39" t="s">
        <v>171</v>
      </c>
      <c r="C39" s="43">
        <v>43970</v>
      </c>
      <c r="D39" s="2" t="s">
        <v>46</v>
      </c>
      <c r="E39" s="7">
        <v>13390036</v>
      </c>
      <c r="F39"/>
      <c r="G39"/>
      <c r="H39" s="37">
        <f>-0.5238-0.1</f>
        <v>-0.62380000000000002</v>
      </c>
      <c r="I39" s="10"/>
      <c r="J39" s="10"/>
      <c r="K39" s="10"/>
      <c r="L39" s="10"/>
      <c r="M39" s="46">
        <f>-0.5238-0.1</f>
        <v>-0.62380000000000002</v>
      </c>
    </row>
    <row r="40" spans="1:14" x14ac:dyDescent="0.2">
      <c r="A40" s="18" t="s">
        <v>183</v>
      </c>
      <c r="B40" t="s">
        <v>171</v>
      </c>
      <c r="C40" s="43">
        <v>43970</v>
      </c>
      <c r="D40" s="2" t="s">
        <v>23</v>
      </c>
      <c r="E40" s="12"/>
      <c r="F40"/>
      <c r="G40"/>
      <c r="H40" s="37">
        <v>-1.1266</v>
      </c>
      <c r="I40" s="10"/>
      <c r="J40" s="10"/>
      <c r="K40" s="10"/>
      <c r="L40" s="10"/>
      <c r="M40" s="46">
        <v>-1.1266</v>
      </c>
    </row>
    <row r="41" spans="1:14" s="126" customFormat="1" ht="13.5" thickBot="1" x14ac:dyDescent="0.25">
      <c r="A41" s="117" t="s">
        <v>183</v>
      </c>
      <c r="B41" s="118" t="s">
        <v>171</v>
      </c>
      <c r="C41" s="119">
        <v>43970</v>
      </c>
      <c r="D41" s="120" t="s">
        <v>21</v>
      </c>
      <c r="E41" s="128"/>
      <c r="F41" s="118">
        <v>150915</v>
      </c>
      <c r="G41" s="118">
        <v>522094</v>
      </c>
      <c r="H41" s="122">
        <v>1.5760000000000001</v>
      </c>
      <c r="I41" s="123"/>
      <c r="J41" s="123"/>
      <c r="K41" s="123"/>
      <c r="L41" s="123"/>
      <c r="M41" s="124">
        <v>1.5832999999999999</v>
      </c>
      <c r="N41" s="125"/>
    </row>
    <row r="42" spans="1:14" x14ac:dyDescent="0.2">
      <c r="A42"/>
      <c r="B42"/>
      <c r="C42"/>
      <c r="D42"/>
      <c r="E42" s="7"/>
      <c r="F42"/>
      <c r="G42"/>
      <c r="H42" s="37"/>
      <c r="I42" s="10"/>
      <c r="J42" s="10"/>
      <c r="K42" s="10"/>
      <c r="L42" s="10"/>
      <c r="M42" s="51"/>
    </row>
    <row r="43" spans="1:14" x14ac:dyDescent="0.2">
      <c r="A43"/>
      <c r="B43"/>
      <c r="C43"/>
      <c r="D43"/>
      <c r="E43" s="7"/>
      <c r="F43"/>
      <c r="G43"/>
      <c r="H43" s="37"/>
      <c r="I43" s="10"/>
      <c r="J43" s="10"/>
      <c r="K43" s="10"/>
      <c r="L43" s="10"/>
      <c r="M43" s="51"/>
    </row>
    <row r="44" spans="1:14" x14ac:dyDescent="0.2">
      <c r="A44"/>
      <c r="B44"/>
      <c r="C44"/>
      <c r="D44"/>
      <c r="E44" s="7"/>
      <c r="F44"/>
      <c r="G44"/>
      <c r="H44" s="37"/>
      <c r="I44" s="10"/>
      <c r="J44" s="10"/>
      <c r="K44" s="10"/>
      <c r="L44" s="10"/>
      <c r="M44" s="51"/>
    </row>
    <row r="45" spans="1:14" x14ac:dyDescent="0.2">
      <c r="A45"/>
      <c r="B45"/>
      <c r="C45"/>
      <c r="D45"/>
      <c r="E45" s="7"/>
      <c r="F45"/>
      <c r="G45"/>
      <c r="H45" s="37"/>
      <c r="I45" s="10"/>
      <c r="J45" s="10"/>
      <c r="K45" s="10"/>
      <c r="L45" s="10"/>
      <c r="M45" s="51"/>
    </row>
    <row r="46" spans="1:14" x14ac:dyDescent="0.2">
      <c r="A46"/>
      <c r="B46"/>
      <c r="C46"/>
      <c r="D46"/>
      <c r="E46" s="7"/>
      <c r="F46"/>
      <c r="G46"/>
      <c r="H46" s="37"/>
      <c r="I46" s="10"/>
      <c r="J46" s="10"/>
      <c r="K46" s="10"/>
      <c r="L46" s="10"/>
      <c r="M46" s="51"/>
    </row>
    <row r="47" spans="1:14" x14ac:dyDescent="0.2">
      <c r="A47"/>
      <c r="B47"/>
      <c r="C47"/>
      <c r="D47"/>
      <c r="E47" s="7"/>
      <c r="F47"/>
      <c r="G47"/>
      <c r="H47" s="37"/>
      <c r="I47" s="10"/>
      <c r="J47" s="10"/>
      <c r="K47" s="10"/>
      <c r="L47" s="10"/>
      <c r="M47" s="51"/>
    </row>
    <row r="48" spans="1:14" x14ac:dyDescent="0.2">
      <c r="A48"/>
      <c r="B48"/>
      <c r="C48"/>
      <c r="D48"/>
      <c r="E48" s="7"/>
      <c r="F48"/>
      <c r="G48"/>
      <c r="H48" s="37"/>
      <c r="I48" s="10"/>
      <c r="J48" s="10"/>
      <c r="K48" s="10"/>
      <c r="L48" s="10"/>
      <c r="M48" s="51"/>
    </row>
    <row r="49" spans="1:13" x14ac:dyDescent="0.2">
      <c r="A49"/>
      <c r="B49"/>
      <c r="C49"/>
      <c r="D49"/>
      <c r="E49" s="7"/>
      <c r="F49"/>
      <c r="G49"/>
      <c r="H49" s="37"/>
      <c r="I49" s="10"/>
      <c r="J49" s="10"/>
      <c r="K49" s="10"/>
      <c r="L49" s="10"/>
      <c r="M49" s="51"/>
    </row>
    <row r="50" spans="1:13" x14ac:dyDescent="0.2">
      <c r="A50"/>
      <c r="B50"/>
      <c r="C50"/>
      <c r="D50"/>
      <c r="E50" s="7"/>
      <c r="F50"/>
      <c r="G50"/>
      <c r="H50" s="37"/>
      <c r="I50" s="10"/>
      <c r="J50" s="10"/>
      <c r="K50" s="10"/>
      <c r="L50" s="10"/>
      <c r="M50" s="51"/>
    </row>
    <row r="51" spans="1:13" x14ac:dyDescent="0.2">
      <c r="A51"/>
      <c r="B51"/>
      <c r="C51"/>
      <c r="D51"/>
      <c r="E51" s="7"/>
      <c r="F51"/>
      <c r="G51"/>
      <c r="H51" s="37"/>
      <c r="I51" s="10"/>
      <c r="J51" s="10"/>
      <c r="K51" s="10"/>
      <c r="L51" s="10"/>
      <c r="M51" s="51"/>
    </row>
    <row r="52" spans="1:13" ht="33.75" customHeight="1" x14ac:dyDescent="0.2">
      <c r="A52"/>
      <c r="B52"/>
      <c r="C52"/>
      <c r="D52"/>
      <c r="E52" s="7"/>
      <c r="F52"/>
      <c r="G52"/>
      <c r="H52" s="37"/>
      <c r="I52" s="10"/>
      <c r="J52" s="10"/>
      <c r="K52" s="10"/>
      <c r="L52" s="10"/>
      <c r="M52" s="51"/>
    </row>
    <row r="53" spans="1:13" x14ac:dyDescent="0.2">
      <c r="A53"/>
      <c r="B53"/>
      <c r="C53"/>
      <c r="D53"/>
      <c r="E53" s="7"/>
      <c r="F53"/>
      <c r="G53"/>
      <c r="H53" s="37"/>
      <c r="I53" s="10"/>
      <c r="J53" s="10"/>
      <c r="K53" s="10"/>
      <c r="L53" s="10"/>
      <c r="M53" s="51"/>
    </row>
    <row r="54" spans="1:13" x14ac:dyDescent="0.2">
      <c r="A54"/>
      <c r="B54"/>
      <c r="C54"/>
      <c r="D54"/>
      <c r="E54" s="7"/>
      <c r="F54"/>
      <c r="G54"/>
      <c r="H54" s="37"/>
      <c r="I54" s="10"/>
      <c r="J54" s="10"/>
      <c r="K54" s="10"/>
      <c r="L54" s="10"/>
      <c r="M54" s="51"/>
    </row>
    <row r="55" spans="1:13" x14ac:dyDescent="0.2">
      <c r="A55"/>
      <c r="B55"/>
      <c r="C55"/>
      <c r="D55"/>
      <c r="E55" s="7"/>
      <c r="F55"/>
      <c r="G55"/>
      <c r="H55" s="37"/>
      <c r="I55" s="10"/>
      <c r="J55" s="10"/>
      <c r="K55" s="10"/>
      <c r="L55" s="10"/>
      <c r="M55" s="51"/>
    </row>
    <row r="56" spans="1:13" x14ac:dyDescent="0.2">
      <c r="A56"/>
      <c r="B56"/>
      <c r="C56"/>
      <c r="D56"/>
      <c r="E56" s="7"/>
      <c r="F56"/>
      <c r="G56"/>
      <c r="H56" s="37"/>
      <c r="I56" s="10"/>
      <c r="J56" s="10"/>
      <c r="K56" s="10"/>
      <c r="L56" s="10"/>
      <c r="M56" s="51"/>
    </row>
    <row r="57" spans="1:13" x14ac:dyDescent="0.2">
      <c r="A57"/>
      <c r="B57"/>
      <c r="C57"/>
      <c r="D57"/>
      <c r="E57" s="7"/>
      <c r="F57"/>
      <c r="G57"/>
      <c r="H57" s="37"/>
      <c r="I57" s="10"/>
      <c r="J57" s="10"/>
      <c r="K57" s="10"/>
      <c r="L57" s="10"/>
      <c r="M57" s="51"/>
    </row>
    <row r="58" spans="1:13" x14ac:dyDescent="0.2">
      <c r="A58"/>
      <c r="B58"/>
      <c r="C58"/>
      <c r="D58"/>
      <c r="E58" s="7"/>
      <c r="F58"/>
      <c r="G58"/>
      <c r="H58" s="37"/>
      <c r="I58" s="10"/>
      <c r="J58" s="10"/>
      <c r="K58" s="10"/>
      <c r="L58" s="10"/>
      <c r="M58" s="51"/>
    </row>
    <row r="59" spans="1:13" x14ac:dyDescent="0.2">
      <c r="A59"/>
      <c r="B59"/>
      <c r="C59"/>
      <c r="D59"/>
      <c r="E59" s="7"/>
      <c r="F59"/>
      <c r="G59"/>
      <c r="H59" s="37"/>
      <c r="I59" s="10"/>
      <c r="J59" s="10"/>
      <c r="K59" s="10"/>
      <c r="L59" s="10"/>
      <c r="M59" s="51"/>
    </row>
    <row r="60" spans="1:13" x14ac:dyDescent="0.2">
      <c r="A60"/>
      <c r="B60"/>
      <c r="C60"/>
      <c r="D60"/>
      <c r="E60" s="7"/>
      <c r="F60"/>
      <c r="G60"/>
      <c r="H60" s="37"/>
      <c r="I60" s="10"/>
      <c r="J60" s="10"/>
      <c r="K60" s="10"/>
      <c r="L60" s="10"/>
      <c r="M60" s="51"/>
    </row>
    <row r="61" spans="1:13" x14ac:dyDescent="0.2">
      <c r="A61"/>
      <c r="B61"/>
      <c r="C61"/>
      <c r="D61"/>
      <c r="E61" s="7"/>
      <c r="F61"/>
      <c r="G61"/>
      <c r="H61" s="37"/>
      <c r="I61" s="10"/>
      <c r="J61" s="10"/>
      <c r="K61" s="10"/>
      <c r="L61" s="10"/>
      <c r="M61" s="51"/>
    </row>
    <row r="62" spans="1:13" x14ac:dyDescent="0.2">
      <c r="A62"/>
      <c r="B62"/>
      <c r="C62"/>
      <c r="D62"/>
      <c r="E62" s="7"/>
      <c r="F62"/>
      <c r="G62"/>
      <c r="H62" s="37"/>
      <c r="I62" s="10"/>
      <c r="J62" s="10"/>
      <c r="K62" s="10"/>
      <c r="L62" s="10"/>
      <c r="M62" s="51"/>
    </row>
    <row r="63" spans="1:13" x14ac:dyDescent="0.2">
      <c r="A63"/>
      <c r="B63"/>
      <c r="C63"/>
      <c r="D63"/>
      <c r="E63" s="7"/>
      <c r="F63"/>
      <c r="G63"/>
      <c r="H63" s="37"/>
      <c r="I63" s="10"/>
      <c r="J63" s="10"/>
      <c r="K63" s="10"/>
      <c r="L63" s="10"/>
      <c r="M63" s="51"/>
    </row>
    <row r="64" spans="1:13" ht="58.5" customHeight="1" x14ac:dyDescent="0.2">
      <c r="A64"/>
      <c r="B64"/>
      <c r="C64"/>
      <c r="D64"/>
      <c r="E64" s="7"/>
      <c r="F64"/>
      <c r="G64"/>
      <c r="H64" s="37"/>
      <c r="I64" s="10"/>
      <c r="J64" s="10"/>
      <c r="K64" s="10"/>
      <c r="L64" s="10"/>
      <c r="M64" s="51"/>
    </row>
    <row r="65" spans="1:13" x14ac:dyDescent="0.2">
      <c r="A65"/>
      <c r="B65"/>
      <c r="C65"/>
      <c r="D65"/>
      <c r="E65" s="7"/>
      <c r="F65"/>
      <c r="G65"/>
      <c r="H65" s="37"/>
      <c r="I65" s="10"/>
      <c r="J65" s="10"/>
      <c r="K65" s="10"/>
      <c r="L65" s="10"/>
      <c r="M65" s="51"/>
    </row>
    <row r="66" spans="1:13" x14ac:dyDescent="0.2">
      <c r="A66"/>
      <c r="B66"/>
      <c r="C66"/>
      <c r="D66"/>
      <c r="E66" s="7"/>
      <c r="F66"/>
      <c r="G66"/>
      <c r="H66" s="37"/>
      <c r="I66" s="10"/>
      <c r="J66" s="10"/>
      <c r="K66" s="10"/>
      <c r="L66" s="10"/>
      <c r="M66" s="51"/>
    </row>
    <row r="67" spans="1:13" x14ac:dyDescent="0.2">
      <c r="A67"/>
      <c r="B67"/>
      <c r="C67"/>
      <c r="D67"/>
      <c r="E67" s="7"/>
      <c r="F67"/>
      <c r="G67"/>
      <c r="H67" s="37"/>
      <c r="I67" s="10"/>
      <c r="J67" s="10"/>
      <c r="K67" s="10"/>
      <c r="L67" s="10"/>
      <c r="M67" s="51"/>
    </row>
    <row r="68" spans="1:13" x14ac:dyDescent="0.2">
      <c r="A68"/>
      <c r="B68"/>
      <c r="C68"/>
      <c r="D68"/>
      <c r="E68" s="7"/>
      <c r="F68"/>
      <c r="G68"/>
      <c r="H68" s="37"/>
      <c r="I68" s="10"/>
      <c r="J68" s="10"/>
      <c r="K68" s="10"/>
      <c r="L68" s="10"/>
      <c r="M68" s="51"/>
    </row>
    <row r="69" spans="1:13" x14ac:dyDescent="0.2">
      <c r="A69"/>
      <c r="B69"/>
      <c r="C69"/>
      <c r="D69"/>
      <c r="E69" s="7"/>
      <c r="F69"/>
      <c r="G69"/>
      <c r="H69" s="37"/>
      <c r="I69" s="10"/>
      <c r="J69" s="10"/>
      <c r="K69" s="10"/>
      <c r="L69" s="10"/>
      <c r="M69" s="51"/>
    </row>
    <row r="70" spans="1:13" x14ac:dyDescent="0.2">
      <c r="A70"/>
      <c r="B70"/>
      <c r="C70"/>
      <c r="D70"/>
      <c r="E70" s="7"/>
      <c r="F70"/>
      <c r="G70"/>
      <c r="H70" s="37"/>
      <c r="I70" s="10"/>
      <c r="J70" s="10"/>
      <c r="K70" s="10"/>
      <c r="L70" s="10"/>
      <c r="M70" s="51"/>
    </row>
    <row r="71" spans="1:13" x14ac:dyDescent="0.2">
      <c r="A71"/>
      <c r="B71"/>
      <c r="C71"/>
      <c r="D71"/>
      <c r="E71" s="7"/>
      <c r="F71"/>
      <c r="G71"/>
      <c r="H71" s="37"/>
      <c r="I71" s="10"/>
      <c r="J71" s="10"/>
      <c r="K71" s="10"/>
      <c r="L71" s="10"/>
      <c r="M71" s="51"/>
    </row>
    <row r="72" spans="1:13" x14ac:dyDescent="0.2">
      <c r="A72"/>
      <c r="B72"/>
      <c r="C72"/>
      <c r="D72"/>
      <c r="E72" s="7"/>
      <c r="F72"/>
      <c r="G72"/>
      <c r="H72" s="37"/>
      <c r="I72" s="10"/>
      <c r="J72" s="10"/>
      <c r="K72" s="10"/>
      <c r="L72" s="10"/>
      <c r="M72" s="51"/>
    </row>
    <row r="73" spans="1:13" x14ac:dyDescent="0.2">
      <c r="A73"/>
      <c r="B73"/>
      <c r="C73"/>
      <c r="D73"/>
      <c r="E73" s="7"/>
      <c r="F73"/>
      <c r="G73"/>
      <c r="H73" s="37"/>
      <c r="I73" s="10"/>
      <c r="J73" s="10"/>
      <c r="K73" s="10"/>
      <c r="L73" s="10"/>
      <c r="M73" s="51"/>
    </row>
    <row r="74" spans="1:13" x14ac:dyDescent="0.2">
      <c r="A74"/>
      <c r="B74"/>
      <c r="C74"/>
      <c r="D74"/>
      <c r="E74" s="7"/>
      <c r="F74"/>
      <c r="G74"/>
      <c r="H74" s="37"/>
      <c r="I74" s="10"/>
      <c r="J74" s="10"/>
      <c r="K74" s="10"/>
      <c r="L74" s="10"/>
      <c r="M74" s="51"/>
    </row>
    <row r="75" spans="1:13" x14ac:dyDescent="0.2">
      <c r="A75"/>
      <c r="B75"/>
      <c r="C75"/>
      <c r="D75"/>
      <c r="E75" s="7"/>
      <c r="F75"/>
      <c r="G75"/>
      <c r="H75" s="37"/>
      <c r="I75" s="10"/>
      <c r="J75" s="10"/>
      <c r="K75" s="10"/>
      <c r="L75" s="10"/>
      <c r="M75" s="51"/>
    </row>
    <row r="76" spans="1:13" x14ac:dyDescent="0.2">
      <c r="A76"/>
      <c r="B76"/>
      <c r="C76"/>
      <c r="D76"/>
      <c r="E76" s="7"/>
      <c r="F76"/>
      <c r="G76"/>
      <c r="H76" s="37"/>
      <c r="I76" s="10"/>
      <c r="J76" s="10"/>
      <c r="K76" s="10"/>
      <c r="L76" s="10"/>
      <c r="M76" s="51"/>
    </row>
    <row r="77" spans="1:13" x14ac:dyDescent="0.2">
      <c r="A77"/>
      <c r="B77"/>
      <c r="C77"/>
      <c r="D77"/>
      <c r="E77" s="7"/>
      <c r="F77"/>
      <c r="G77"/>
      <c r="H77" s="37"/>
      <c r="I77" s="10"/>
      <c r="J77" s="10"/>
      <c r="K77" s="10"/>
      <c r="L77" s="10"/>
      <c r="M77" s="51"/>
    </row>
    <row r="78" spans="1:13" x14ac:dyDescent="0.2">
      <c r="A78"/>
      <c r="B78"/>
      <c r="C78"/>
      <c r="D78"/>
      <c r="E78" s="7"/>
      <c r="F78"/>
      <c r="G78"/>
      <c r="H78" s="37"/>
      <c r="I78" s="10"/>
      <c r="J78" s="10"/>
      <c r="K78" s="10"/>
      <c r="L78" s="10"/>
      <c r="M78" s="51"/>
    </row>
    <row r="79" spans="1:13" ht="42.75" customHeight="1" x14ac:dyDescent="0.2">
      <c r="A79"/>
      <c r="B79"/>
      <c r="C79"/>
      <c r="D79"/>
      <c r="E79" s="7"/>
      <c r="F79"/>
      <c r="G79"/>
      <c r="H79" s="37"/>
      <c r="I79" s="10"/>
      <c r="J79" s="10"/>
      <c r="K79" s="10"/>
      <c r="L79" s="10"/>
      <c r="M79" s="51"/>
    </row>
    <row r="80" spans="1:13" x14ac:dyDescent="0.2">
      <c r="A80"/>
      <c r="B80"/>
      <c r="C80"/>
      <c r="D80"/>
      <c r="E80" s="7"/>
      <c r="F80"/>
      <c r="G80"/>
      <c r="H80" s="37"/>
      <c r="I80" s="10"/>
      <c r="J80" s="10"/>
      <c r="K80" s="10"/>
      <c r="L80" s="10"/>
      <c r="M80" s="51"/>
    </row>
    <row r="81" spans="1:13" ht="12.75" customHeight="1" x14ac:dyDescent="0.2">
      <c r="A81"/>
      <c r="B81"/>
      <c r="C81"/>
      <c r="D81"/>
      <c r="E81" s="7"/>
      <c r="F81"/>
      <c r="G81"/>
      <c r="H81" s="37"/>
      <c r="I81" s="10"/>
      <c r="J81" s="10"/>
      <c r="K81" s="10"/>
      <c r="L81" s="10"/>
      <c r="M81" s="51"/>
    </row>
    <row r="82" spans="1:13" ht="12.75" customHeight="1" x14ac:dyDescent="0.2">
      <c r="A82"/>
      <c r="B82"/>
      <c r="C82"/>
      <c r="D82"/>
      <c r="E82" s="7"/>
      <c r="F82"/>
      <c r="G82"/>
      <c r="H82" s="37"/>
      <c r="I82" s="10"/>
      <c r="J82" s="10"/>
      <c r="K82" s="10"/>
      <c r="L82" s="10"/>
      <c r="M82" s="51"/>
    </row>
    <row r="83" spans="1:13" x14ac:dyDescent="0.2">
      <c r="A83"/>
      <c r="B83"/>
      <c r="C83"/>
      <c r="D83"/>
      <c r="E83" s="7"/>
      <c r="F83"/>
      <c r="G83"/>
      <c r="H83" s="37"/>
      <c r="I83" s="10"/>
      <c r="J83" s="10"/>
      <c r="K83" s="10"/>
      <c r="L83" s="10"/>
      <c r="M83" s="51"/>
    </row>
    <row r="84" spans="1:13" x14ac:dyDescent="0.2">
      <c r="A84"/>
      <c r="B84"/>
      <c r="C84"/>
      <c r="D84"/>
      <c r="E84" s="7"/>
      <c r="F84"/>
      <c r="G84"/>
      <c r="H84" s="37"/>
      <c r="I84" s="10"/>
      <c r="J84" s="10"/>
      <c r="K84" s="10"/>
      <c r="L84" s="10"/>
      <c r="M84" s="51"/>
    </row>
    <row r="85" spans="1:13" x14ac:dyDescent="0.2">
      <c r="A85"/>
      <c r="B85"/>
      <c r="C85"/>
      <c r="D85"/>
      <c r="E85" s="7"/>
      <c r="F85"/>
      <c r="G85"/>
      <c r="H85" s="37"/>
      <c r="I85" s="10"/>
      <c r="J85" s="10"/>
      <c r="K85" s="10"/>
      <c r="L85" s="10"/>
      <c r="M85" s="51"/>
    </row>
    <row r="86" spans="1:13" x14ac:dyDescent="0.2">
      <c r="A86"/>
      <c r="B86"/>
      <c r="C86"/>
      <c r="D86"/>
      <c r="E86" s="7"/>
      <c r="F86"/>
      <c r="G86"/>
      <c r="H86" s="37"/>
      <c r="I86" s="10"/>
      <c r="J86" s="10"/>
      <c r="K86" s="10"/>
      <c r="L86" s="10"/>
      <c r="M86" s="51"/>
    </row>
    <row r="87" spans="1:13" x14ac:dyDescent="0.2">
      <c r="A87"/>
      <c r="B87"/>
      <c r="C87"/>
      <c r="D87"/>
      <c r="E87" s="7"/>
      <c r="F87"/>
      <c r="G87"/>
      <c r="H87" s="37"/>
      <c r="I87" s="10"/>
      <c r="J87" s="10"/>
      <c r="K87" s="10"/>
      <c r="L87" s="10"/>
      <c r="M87" s="51"/>
    </row>
    <row r="88" spans="1:13" x14ac:dyDescent="0.2">
      <c r="A88"/>
      <c r="B88"/>
      <c r="C88"/>
      <c r="D88"/>
      <c r="E88" s="7"/>
      <c r="F88"/>
      <c r="G88"/>
      <c r="H88" s="37"/>
      <c r="I88" s="10"/>
      <c r="J88" s="10"/>
      <c r="K88" s="10"/>
      <c r="L88" s="10"/>
      <c r="M88" s="51"/>
    </row>
    <row r="89" spans="1:13" x14ac:dyDescent="0.2">
      <c r="A89"/>
      <c r="B89"/>
      <c r="C89"/>
      <c r="D89"/>
      <c r="E89" s="7"/>
      <c r="F89"/>
      <c r="G89"/>
      <c r="H89" s="37"/>
      <c r="I89" s="10"/>
      <c r="J89" s="10"/>
      <c r="K89" s="10"/>
      <c r="L89" s="10"/>
      <c r="M89" s="51"/>
    </row>
    <row r="90" spans="1:13" x14ac:dyDescent="0.2">
      <c r="A90"/>
      <c r="B90"/>
      <c r="C90"/>
      <c r="D90"/>
      <c r="E90" s="7"/>
      <c r="F90"/>
      <c r="G90"/>
      <c r="H90" s="37"/>
      <c r="I90" s="10"/>
      <c r="J90" s="10"/>
      <c r="K90" s="10"/>
      <c r="L90" s="10"/>
      <c r="M90" s="51"/>
    </row>
    <row r="91" spans="1:13" x14ac:dyDescent="0.2">
      <c r="A91"/>
      <c r="B91"/>
      <c r="C91"/>
      <c r="D91"/>
      <c r="E91" s="7"/>
      <c r="F91"/>
      <c r="G91"/>
      <c r="H91" s="37"/>
      <c r="I91" s="10"/>
      <c r="J91" s="10"/>
      <c r="K91" s="10"/>
      <c r="L91" s="10"/>
      <c r="M91" s="51"/>
    </row>
    <row r="92" spans="1:13" x14ac:dyDescent="0.2">
      <c r="A92"/>
      <c r="B92"/>
      <c r="C92"/>
      <c r="D92"/>
      <c r="E92" s="7"/>
      <c r="F92"/>
      <c r="G92"/>
      <c r="H92" s="37"/>
      <c r="I92" s="10"/>
      <c r="J92" s="10"/>
      <c r="K92" s="10"/>
      <c r="L92" s="10"/>
      <c r="M92" s="51"/>
    </row>
    <row r="93" spans="1:13" x14ac:dyDescent="0.2">
      <c r="A93"/>
      <c r="B93"/>
      <c r="C93"/>
      <c r="D93"/>
      <c r="E93" s="7"/>
      <c r="F93"/>
      <c r="G93"/>
      <c r="H93" s="37"/>
      <c r="I93" s="10"/>
      <c r="J93" s="10"/>
      <c r="K93" s="10"/>
      <c r="L93" s="10"/>
      <c r="M93" s="51"/>
    </row>
    <row r="94" spans="1:13" x14ac:dyDescent="0.2">
      <c r="A94"/>
      <c r="B94"/>
      <c r="C94"/>
      <c r="D94"/>
      <c r="E94" s="7"/>
      <c r="F94"/>
      <c r="G94"/>
      <c r="H94" s="37"/>
      <c r="I94" s="10"/>
      <c r="J94" s="10"/>
      <c r="K94" s="10"/>
      <c r="L94" s="10"/>
      <c r="M94" s="51"/>
    </row>
    <row r="95" spans="1:13" x14ac:dyDescent="0.2">
      <c r="A95"/>
      <c r="B95"/>
      <c r="C95"/>
      <c r="D95"/>
      <c r="E95" s="7"/>
      <c r="F95"/>
      <c r="G95"/>
      <c r="H95" s="37"/>
      <c r="I95" s="10"/>
      <c r="J95" s="10"/>
      <c r="K95" s="10"/>
      <c r="L95" s="10"/>
      <c r="M95" s="51"/>
    </row>
    <row r="96" spans="1:13" x14ac:dyDescent="0.2">
      <c r="A96"/>
      <c r="B96"/>
      <c r="C96"/>
      <c r="D96"/>
      <c r="E96" s="7"/>
      <c r="F96"/>
      <c r="G96"/>
      <c r="H96" s="37"/>
      <c r="I96" s="10"/>
      <c r="J96" s="10"/>
      <c r="K96" s="10"/>
      <c r="L96" s="10"/>
      <c r="M96" s="51"/>
    </row>
    <row r="97" spans="1:13" x14ac:dyDescent="0.2">
      <c r="A97"/>
      <c r="B97"/>
      <c r="C97"/>
      <c r="D97"/>
      <c r="E97" s="7"/>
      <c r="F97"/>
      <c r="G97"/>
      <c r="H97" s="37"/>
      <c r="I97" s="10"/>
      <c r="J97" s="10"/>
      <c r="K97" s="10"/>
      <c r="L97" s="10"/>
      <c r="M97" s="51"/>
    </row>
    <row r="98" spans="1:13" x14ac:dyDescent="0.2">
      <c r="A98"/>
      <c r="B98"/>
      <c r="C98"/>
      <c r="D98"/>
      <c r="E98" s="7"/>
      <c r="F98"/>
      <c r="G98"/>
      <c r="H98" s="37"/>
      <c r="I98" s="10"/>
      <c r="J98" s="10"/>
      <c r="K98" s="10"/>
      <c r="L98" s="10"/>
      <c r="M98" s="51"/>
    </row>
    <row r="99" spans="1:13" x14ac:dyDescent="0.2">
      <c r="A99"/>
      <c r="B99"/>
      <c r="C99"/>
      <c r="D99"/>
      <c r="E99" s="7"/>
      <c r="F99"/>
      <c r="G99"/>
      <c r="H99" s="37"/>
      <c r="I99" s="10"/>
      <c r="J99" s="10"/>
      <c r="K99" s="10"/>
      <c r="L99" s="10"/>
      <c r="M99" s="51"/>
    </row>
    <row r="100" spans="1:13" x14ac:dyDescent="0.2">
      <c r="A100"/>
      <c r="B100"/>
      <c r="C100"/>
      <c r="D100"/>
      <c r="E100" s="7"/>
      <c r="F100"/>
      <c r="G100"/>
      <c r="H100" s="37"/>
      <c r="I100" s="10"/>
      <c r="J100" s="10"/>
      <c r="K100" s="10"/>
      <c r="L100" s="10"/>
      <c r="M100" s="51"/>
    </row>
    <row r="101" spans="1:13" x14ac:dyDescent="0.2">
      <c r="A101"/>
      <c r="B101"/>
      <c r="C101"/>
      <c r="D101"/>
      <c r="E101" s="7"/>
      <c r="F101"/>
      <c r="G101"/>
      <c r="H101" s="37"/>
      <c r="I101" s="10"/>
      <c r="J101" s="10"/>
      <c r="K101" s="10"/>
      <c r="L101" s="10"/>
      <c r="M101" s="51"/>
    </row>
    <row r="102" spans="1:13" x14ac:dyDescent="0.2">
      <c r="A102"/>
      <c r="B102"/>
      <c r="C102"/>
      <c r="D102"/>
      <c r="E102" s="7"/>
      <c r="F102"/>
      <c r="G102"/>
      <c r="H102" s="37"/>
      <c r="I102" s="10"/>
      <c r="J102" s="10"/>
      <c r="K102" s="10"/>
      <c r="L102" s="10"/>
      <c r="M102" s="51"/>
    </row>
    <row r="103" spans="1:13" x14ac:dyDescent="0.2">
      <c r="A103"/>
      <c r="B103"/>
      <c r="C103"/>
      <c r="D103"/>
      <c r="E103" s="7"/>
      <c r="F103"/>
      <c r="G103"/>
      <c r="H103" s="37"/>
      <c r="I103" s="10"/>
      <c r="J103" s="10"/>
      <c r="K103" s="10"/>
      <c r="L103" s="10"/>
      <c r="M103" s="51"/>
    </row>
    <row r="104" spans="1:13" x14ac:dyDescent="0.2">
      <c r="A104"/>
      <c r="B104"/>
      <c r="C104"/>
      <c r="D104"/>
      <c r="E104" s="7"/>
      <c r="F104"/>
      <c r="G104"/>
      <c r="H104" s="37"/>
      <c r="I104" s="10"/>
      <c r="J104" s="10"/>
      <c r="K104" s="10"/>
      <c r="L104" s="10"/>
      <c r="M104" s="51"/>
    </row>
    <row r="105" spans="1:13" x14ac:dyDescent="0.2">
      <c r="A105"/>
      <c r="B105"/>
      <c r="C105"/>
      <c r="D105"/>
      <c r="E105" s="7"/>
      <c r="F105"/>
      <c r="G105"/>
      <c r="H105" s="37"/>
      <c r="I105" s="10"/>
      <c r="J105" s="10"/>
      <c r="K105" s="10"/>
      <c r="L105" s="10"/>
      <c r="M105" s="51"/>
    </row>
    <row r="106" spans="1:13" x14ac:dyDescent="0.2">
      <c r="A106"/>
      <c r="B106"/>
      <c r="C106"/>
      <c r="D106"/>
      <c r="E106" s="7"/>
      <c r="F106"/>
      <c r="G106"/>
      <c r="H106" s="37"/>
      <c r="I106" s="10"/>
      <c r="J106" s="10"/>
      <c r="K106" s="10"/>
      <c r="L106" s="10"/>
      <c r="M106" s="51"/>
    </row>
    <row r="107" spans="1:13" x14ac:dyDescent="0.2">
      <c r="A107"/>
      <c r="B107"/>
      <c r="C107"/>
      <c r="D107"/>
      <c r="E107" s="7"/>
      <c r="F107"/>
      <c r="G107"/>
      <c r="H107" s="37"/>
      <c r="I107" s="10"/>
      <c r="J107" s="10"/>
      <c r="K107" s="10"/>
      <c r="L107" s="10"/>
      <c r="M107" s="51"/>
    </row>
    <row r="108" spans="1:13" x14ac:dyDescent="0.2">
      <c r="A108"/>
      <c r="B108"/>
      <c r="C108"/>
      <c r="D108"/>
      <c r="E108" s="7"/>
      <c r="F108"/>
      <c r="G108"/>
      <c r="H108" s="37"/>
      <c r="I108" s="10"/>
      <c r="J108" s="10"/>
      <c r="K108" s="10"/>
      <c r="L108" s="10"/>
      <c r="M108" s="51"/>
    </row>
    <row r="109" spans="1:13" x14ac:dyDescent="0.2">
      <c r="A109"/>
      <c r="B109"/>
      <c r="C109"/>
      <c r="D109"/>
      <c r="E109" s="7"/>
      <c r="F109"/>
      <c r="G109"/>
      <c r="H109" s="37"/>
      <c r="I109" s="10"/>
      <c r="J109" s="10"/>
      <c r="K109" s="10"/>
      <c r="L109" s="10"/>
      <c r="M109" s="51"/>
    </row>
    <row r="110" spans="1:13" x14ac:dyDescent="0.2">
      <c r="A110"/>
      <c r="B110"/>
      <c r="C110"/>
      <c r="D110"/>
      <c r="E110" s="7"/>
      <c r="F110"/>
      <c r="G110"/>
      <c r="H110" s="37"/>
      <c r="I110" s="10"/>
      <c r="J110" s="10"/>
      <c r="K110" s="10"/>
      <c r="L110" s="10"/>
      <c r="M110" s="51"/>
    </row>
    <row r="111" spans="1:13" x14ac:dyDescent="0.2">
      <c r="A111"/>
      <c r="B111"/>
      <c r="C111"/>
      <c r="D111"/>
      <c r="E111" s="7"/>
      <c r="F111"/>
      <c r="G111"/>
      <c r="H111" s="37"/>
      <c r="I111" s="10"/>
      <c r="J111" s="10"/>
      <c r="K111" s="10"/>
      <c r="L111" s="10"/>
      <c r="M111" s="51"/>
    </row>
    <row r="112" spans="1:13" x14ac:dyDescent="0.2">
      <c r="A112"/>
      <c r="B112"/>
      <c r="C112"/>
      <c r="D112"/>
      <c r="E112" s="7"/>
      <c r="F112"/>
      <c r="G112"/>
      <c r="H112" s="37"/>
      <c r="I112" s="10"/>
      <c r="J112" s="10"/>
      <c r="K112" s="10"/>
      <c r="L112" s="10"/>
      <c r="M112" s="51"/>
    </row>
    <row r="113" spans="1:13" x14ac:dyDescent="0.2">
      <c r="A113"/>
      <c r="B113"/>
      <c r="C113"/>
      <c r="D113"/>
      <c r="E113" s="7"/>
      <c r="F113"/>
      <c r="G113"/>
      <c r="H113" s="37"/>
      <c r="I113" s="10"/>
      <c r="J113" s="10"/>
      <c r="K113" s="10"/>
      <c r="L113" s="10"/>
      <c r="M113" s="51"/>
    </row>
    <row r="114" spans="1:13" x14ac:dyDescent="0.2">
      <c r="A114"/>
      <c r="B114"/>
      <c r="C114"/>
      <c r="D114"/>
      <c r="E114" s="7"/>
      <c r="F114"/>
      <c r="G114"/>
      <c r="H114" s="37"/>
      <c r="I114" s="10"/>
      <c r="J114" s="10"/>
      <c r="K114" s="10"/>
      <c r="L114" s="10"/>
      <c r="M114" s="51"/>
    </row>
    <row r="115" spans="1:13" x14ac:dyDescent="0.2">
      <c r="A115"/>
      <c r="B115"/>
      <c r="C115"/>
      <c r="D115"/>
      <c r="E115" s="7"/>
      <c r="F115"/>
      <c r="G115"/>
      <c r="H115" s="37"/>
      <c r="I115" s="10"/>
      <c r="J115" s="10"/>
      <c r="K115" s="10"/>
      <c r="L115" s="10"/>
      <c r="M115" s="51"/>
    </row>
    <row r="116" spans="1:13" x14ac:dyDescent="0.2">
      <c r="A116"/>
      <c r="B116"/>
      <c r="C116"/>
      <c r="D116"/>
      <c r="E116" s="7"/>
      <c r="F116"/>
      <c r="G116"/>
      <c r="H116" s="37"/>
      <c r="I116" s="10"/>
      <c r="J116" s="10"/>
      <c r="K116" s="10"/>
      <c r="L116" s="10"/>
      <c r="M116" s="51"/>
    </row>
    <row r="117" spans="1:13" x14ac:dyDescent="0.2">
      <c r="A117"/>
      <c r="B117"/>
      <c r="C117"/>
      <c r="D117"/>
      <c r="E117" s="7"/>
      <c r="F117"/>
      <c r="G117"/>
      <c r="H117" s="37"/>
      <c r="I117" s="10"/>
      <c r="J117" s="10"/>
      <c r="K117" s="10"/>
      <c r="L117" s="10"/>
      <c r="M117" s="51"/>
    </row>
    <row r="118" spans="1:13" x14ac:dyDescent="0.2">
      <c r="A118"/>
      <c r="B118"/>
      <c r="C118"/>
      <c r="D118"/>
      <c r="E118" s="7"/>
      <c r="F118"/>
      <c r="G118"/>
      <c r="H118" s="37"/>
      <c r="I118" s="10"/>
      <c r="J118" s="10"/>
      <c r="K118" s="10"/>
      <c r="L118" s="10"/>
      <c r="M118" s="51"/>
    </row>
    <row r="119" spans="1:13" x14ac:dyDescent="0.2">
      <c r="A119"/>
      <c r="B119"/>
      <c r="C119"/>
      <c r="D119"/>
      <c r="E119" s="7"/>
      <c r="F119"/>
      <c r="G119"/>
      <c r="H119" s="37"/>
      <c r="I119" s="10"/>
      <c r="J119" s="10"/>
      <c r="K119" s="10"/>
      <c r="L119" s="10"/>
      <c r="M119" s="51"/>
    </row>
    <row r="120" spans="1:13" x14ac:dyDescent="0.2">
      <c r="A120"/>
      <c r="B120"/>
      <c r="C120"/>
      <c r="D120"/>
      <c r="E120" s="7"/>
      <c r="F120"/>
      <c r="G120"/>
      <c r="H120" s="37"/>
      <c r="I120" s="10"/>
      <c r="J120" s="10"/>
      <c r="K120" s="10"/>
      <c r="L120" s="10"/>
      <c r="M120" s="51"/>
    </row>
    <row r="121" spans="1:13" x14ac:dyDescent="0.2">
      <c r="A121"/>
      <c r="B121"/>
      <c r="C121"/>
      <c r="D121"/>
      <c r="E121" s="7"/>
      <c r="F121"/>
      <c r="G121"/>
      <c r="H121" s="37"/>
      <c r="I121" s="10"/>
      <c r="J121" s="10"/>
      <c r="K121" s="10"/>
      <c r="L121" s="10"/>
      <c r="M121" s="51"/>
    </row>
    <row r="122" spans="1:13" x14ac:dyDescent="0.2">
      <c r="A122"/>
      <c r="B122"/>
      <c r="C122"/>
      <c r="D122"/>
      <c r="E122" s="7"/>
      <c r="F122"/>
      <c r="G122"/>
      <c r="H122" s="37"/>
      <c r="I122" s="10"/>
      <c r="J122" s="10"/>
      <c r="K122" s="10"/>
      <c r="L122" s="10"/>
      <c r="M122" s="51"/>
    </row>
    <row r="123" spans="1:13" x14ac:dyDescent="0.2">
      <c r="A123"/>
      <c r="B123"/>
      <c r="C123"/>
      <c r="D123"/>
      <c r="E123" s="7"/>
      <c r="F123"/>
      <c r="G123"/>
      <c r="H123" s="37"/>
      <c r="I123" s="10"/>
      <c r="J123" s="10"/>
      <c r="K123" s="10"/>
      <c r="L123" s="10"/>
      <c r="M123" s="51"/>
    </row>
    <row r="124" spans="1:13" x14ac:dyDescent="0.2">
      <c r="A124"/>
      <c r="B124"/>
      <c r="C124"/>
      <c r="D124"/>
      <c r="E124" s="7"/>
      <c r="F124"/>
      <c r="G124"/>
      <c r="H124" s="37"/>
      <c r="I124" s="10"/>
      <c r="J124" s="10"/>
      <c r="K124" s="10"/>
      <c r="L124" s="10"/>
      <c r="M124" s="51"/>
    </row>
    <row r="125" spans="1:13" x14ac:dyDescent="0.2">
      <c r="A125"/>
      <c r="B125"/>
      <c r="C125"/>
      <c r="D125"/>
      <c r="E125" s="7"/>
      <c r="F125"/>
      <c r="G125"/>
      <c r="H125" s="37"/>
      <c r="I125" s="10"/>
      <c r="J125" s="10"/>
      <c r="K125" s="10"/>
      <c r="L125" s="10"/>
      <c r="M125" s="51"/>
    </row>
    <row r="126" spans="1:13" x14ac:dyDescent="0.2">
      <c r="A126"/>
      <c r="B126"/>
      <c r="C126"/>
      <c r="D126"/>
      <c r="E126" s="7"/>
      <c r="F126"/>
      <c r="G126"/>
      <c r="H126" s="37"/>
      <c r="I126" s="10"/>
      <c r="J126" s="10"/>
      <c r="K126" s="10"/>
      <c r="L126" s="10"/>
      <c r="M126" s="51"/>
    </row>
    <row r="127" spans="1:13" x14ac:dyDescent="0.2">
      <c r="A127"/>
      <c r="B127"/>
      <c r="C127"/>
      <c r="D127"/>
      <c r="E127" s="7"/>
      <c r="F127"/>
      <c r="G127"/>
      <c r="H127" s="37"/>
      <c r="I127" s="10"/>
      <c r="J127" s="10"/>
      <c r="K127" s="10"/>
      <c r="L127" s="10"/>
      <c r="M127" s="51"/>
    </row>
    <row r="128" spans="1:13" x14ac:dyDescent="0.2">
      <c r="A128"/>
      <c r="B128"/>
      <c r="C128"/>
      <c r="D128"/>
      <c r="E128" s="7"/>
      <c r="F128"/>
      <c r="G128"/>
      <c r="H128" s="37"/>
      <c r="I128" s="10"/>
      <c r="J128" s="10"/>
      <c r="K128" s="10"/>
      <c r="L128" s="10"/>
      <c r="M128" s="51"/>
    </row>
    <row r="129" spans="1:13" x14ac:dyDescent="0.2">
      <c r="A129"/>
      <c r="B129"/>
      <c r="C129"/>
      <c r="D129"/>
      <c r="E129" s="7"/>
      <c r="F129"/>
      <c r="G129"/>
      <c r="H129" s="37"/>
      <c r="I129" s="10"/>
      <c r="J129" s="10"/>
      <c r="K129" s="10"/>
      <c r="L129" s="10"/>
      <c r="M129" s="51"/>
    </row>
    <row r="130" spans="1:13" x14ac:dyDescent="0.2">
      <c r="A130"/>
      <c r="B130"/>
      <c r="C130"/>
      <c r="D130"/>
      <c r="E130" s="7"/>
      <c r="F130"/>
      <c r="G130"/>
      <c r="H130" s="37"/>
      <c r="I130" s="10"/>
      <c r="J130" s="10"/>
      <c r="K130" s="10"/>
      <c r="L130" s="10"/>
      <c r="M130" s="51"/>
    </row>
    <row r="131" spans="1:13" x14ac:dyDescent="0.2">
      <c r="A131"/>
      <c r="B131"/>
      <c r="C131"/>
      <c r="D131"/>
      <c r="E131" s="7"/>
      <c r="F131"/>
      <c r="G131"/>
      <c r="H131" s="37"/>
      <c r="I131" s="10"/>
      <c r="J131" s="10"/>
      <c r="K131" s="10"/>
      <c r="L131" s="10"/>
      <c r="M131" s="51"/>
    </row>
    <row r="132" spans="1:13" x14ac:dyDescent="0.2">
      <c r="A132"/>
      <c r="B132"/>
      <c r="C132"/>
      <c r="D132"/>
      <c r="E132" s="7"/>
      <c r="F132"/>
      <c r="G132"/>
      <c r="H132" s="37"/>
      <c r="I132" s="10"/>
      <c r="J132" s="10"/>
      <c r="K132" s="10"/>
      <c r="L132" s="10"/>
      <c r="M132" s="51"/>
    </row>
    <row r="133" spans="1:13" x14ac:dyDescent="0.2">
      <c r="A133"/>
      <c r="B133"/>
      <c r="C133"/>
      <c r="D133"/>
      <c r="E133" s="7"/>
      <c r="F133"/>
      <c r="G133"/>
      <c r="H133" s="37"/>
      <c r="I133" s="10"/>
      <c r="J133" s="10"/>
      <c r="K133" s="10"/>
      <c r="L133" s="10"/>
      <c r="M133" s="51"/>
    </row>
    <row r="134" spans="1:13" x14ac:dyDescent="0.2">
      <c r="A134"/>
      <c r="B134"/>
      <c r="C134"/>
      <c r="D134"/>
      <c r="E134" s="7"/>
      <c r="F134"/>
      <c r="G134"/>
      <c r="H134" s="37"/>
      <c r="I134" s="10"/>
      <c r="J134" s="10"/>
      <c r="K134" s="10"/>
      <c r="L134" s="10"/>
      <c r="M134" s="51"/>
    </row>
    <row r="135" spans="1:13" x14ac:dyDescent="0.2">
      <c r="A135"/>
      <c r="B135"/>
      <c r="C135"/>
      <c r="D135"/>
      <c r="E135" s="7"/>
      <c r="F135"/>
      <c r="G135"/>
      <c r="H135" s="37"/>
      <c r="I135" s="10"/>
      <c r="J135" s="10"/>
      <c r="K135" s="10"/>
      <c r="L135" s="10"/>
      <c r="M135" s="51"/>
    </row>
    <row r="136" spans="1:13" x14ac:dyDescent="0.2">
      <c r="A136"/>
      <c r="B136"/>
      <c r="C136"/>
      <c r="D136"/>
      <c r="E136" s="7"/>
      <c r="F136"/>
      <c r="G136"/>
      <c r="H136" s="37"/>
      <c r="I136" s="10"/>
      <c r="J136" s="10"/>
      <c r="K136" s="10"/>
      <c r="L136" s="10"/>
      <c r="M136" s="51"/>
    </row>
    <row r="137" spans="1:13" x14ac:dyDescent="0.2">
      <c r="A137"/>
      <c r="B137"/>
      <c r="C137"/>
      <c r="D137"/>
      <c r="E137" s="7"/>
      <c r="F137"/>
      <c r="G137"/>
      <c r="H137" s="37"/>
      <c r="I137" s="10"/>
      <c r="J137" s="10"/>
      <c r="K137" s="10"/>
      <c r="L137" s="10"/>
      <c r="M137" s="51"/>
    </row>
    <row r="138" spans="1:13" x14ac:dyDescent="0.2">
      <c r="A138"/>
      <c r="B138"/>
      <c r="C138"/>
      <c r="D138"/>
      <c r="E138" s="7"/>
      <c r="F138"/>
      <c r="G138"/>
      <c r="H138" s="37"/>
      <c r="I138" s="10"/>
      <c r="J138" s="10"/>
      <c r="K138" s="10"/>
      <c r="L138" s="10"/>
      <c r="M138" s="51"/>
    </row>
    <row r="139" spans="1:13" x14ac:dyDescent="0.2">
      <c r="A139"/>
      <c r="B139"/>
      <c r="C139"/>
      <c r="D139"/>
      <c r="E139" s="7"/>
      <c r="F139"/>
      <c r="G139"/>
      <c r="H139" s="37"/>
      <c r="I139" s="10"/>
      <c r="J139" s="10"/>
      <c r="K139" s="10"/>
      <c r="L139" s="10"/>
      <c r="M139" s="51"/>
    </row>
    <row r="140" spans="1:13" x14ac:dyDescent="0.2">
      <c r="A140"/>
      <c r="B140"/>
      <c r="C140"/>
      <c r="D140"/>
      <c r="E140" s="7"/>
      <c r="F140"/>
      <c r="G140"/>
      <c r="H140" s="37"/>
      <c r="I140" s="10"/>
      <c r="J140" s="10"/>
      <c r="K140" s="10"/>
      <c r="L140" s="10"/>
      <c r="M140" s="51"/>
    </row>
    <row r="141" spans="1:13" x14ac:dyDescent="0.2">
      <c r="A141"/>
      <c r="B141"/>
      <c r="C141"/>
      <c r="D141"/>
      <c r="E141" s="7"/>
      <c r="F141"/>
      <c r="G141"/>
      <c r="H141" s="37"/>
      <c r="I141" s="10"/>
      <c r="J141" s="10"/>
      <c r="K141" s="10"/>
      <c r="L141" s="10"/>
      <c r="M141" s="51"/>
    </row>
    <row r="142" spans="1:13" x14ac:dyDescent="0.2">
      <c r="A142"/>
      <c r="B142"/>
      <c r="C142"/>
      <c r="D142"/>
      <c r="E142" s="7"/>
      <c r="F142"/>
      <c r="G142"/>
      <c r="H142" s="37"/>
      <c r="I142" s="10"/>
      <c r="J142" s="10"/>
      <c r="K142" s="10"/>
      <c r="L142" s="10"/>
      <c r="M142" s="51"/>
    </row>
    <row r="143" spans="1:13" x14ac:dyDescent="0.2">
      <c r="A143"/>
      <c r="B143"/>
      <c r="C143"/>
      <c r="D143"/>
      <c r="E143" s="7"/>
      <c r="F143"/>
      <c r="G143"/>
      <c r="H143" s="37"/>
      <c r="I143" s="10"/>
      <c r="J143" s="10"/>
      <c r="K143" s="10"/>
      <c r="L143" s="10"/>
      <c r="M143" s="51"/>
    </row>
    <row r="144" spans="1:13" x14ac:dyDescent="0.2">
      <c r="A144"/>
      <c r="B144"/>
      <c r="C144"/>
      <c r="D144"/>
      <c r="E144" s="7"/>
      <c r="F144"/>
      <c r="G144"/>
      <c r="H144" s="37"/>
      <c r="I144" s="10"/>
      <c r="J144" s="10"/>
      <c r="K144" s="10"/>
      <c r="L144" s="10"/>
      <c r="M144" s="51"/>
    </row>
    <row r="145" spans="1:13" x14ac:dyDescent="0.2">
      <c r="A145"/>
      <c r="B145"/>
      <c r="C145"/>
      <c r="D145"/>
      <c r="E145" s="7"/>
      <c r="F145"/>
      <c r="G145"/>
      <c r="H145" s="37"/>
      <c r="I145" s="10"/>
      <c r="J145" s="10"/>
      <c r="K145" s="10"/>
      <c r="L145" s="10"/>
      <c r="M145" s="51"/>
    </row>
    <row r="146" spans="1:13" x14ac:dyDescent="0.2">
      <c r="A146"/>
      <c r="B146"/>
      <c r="C146"/>
      <c r="D146"/>
      <c r="E146" s="7"/>
      <c r="F146"/>
      <c r="G146"/>
      <c r="H146" s="37"/>
      <c r="I146" s="10"/>
      <c r="J146" s="10"/>
      <c r="K146" s="10"/>
      <c r="L146" s="10"/>
      <c r="M146" s="51"/>
    </row>
    <row r="147" spans="1:13" x14ac:dyDescent="0.2">
      <c r="A147"/>
      <c r="B147"/>
      <c r="C147"/>
      <c r="D147"/>
      <c r="E147" s="7"/>
      <c r="F147"/>
      <c r="G147"/>
      <c r="H147" s="37"/>
      <c r="I147" s="10"/>
      <c r="J147" s="10"/>
      <c r="K147" s="10"/>
      <c r="L147" s="10"/>
      <c r="M147" s="51"/>
    </row>
    <row r="148" spans="1:13" x14ac:dyDescent="0.2">
      <c r="A148"/>
      <c r="B148"/>
      <c r="C148"/>
      <c r="D148"/>
      <c r="E148" s="7"/>
      <c r="F148"/>
      <c r="G148"/>
      <c r="H148" s="37"/>
      <c r="I148" s="10"/>
      <c r="J148" s="10"/>
      <c r="K148" s="10"/>
      <c r="L148" s="10"/>
      <c r="M148" s="51"/>
    </row>
    <row r="149" spans="1:13" x14ac:dyDescent="0.2">
      <c r="A149"/>
      <c r="B149"/>
      <c r="C149"/>
      <c r="D149"/>
      <c r="E149" s="7"/>
      <c r="F149"/>
      <c r="G149"/>
      <c r="H149" s="37"/>
      <c r="I149" s="10"/>
      <c r="J149" s="10"/>
      <c r="K149" s="10"/>
      <c r="L149" s="10"/>
      <c r="M149" s="51"/>
    </row>
    <row r="150" spans="1:13" x14ac:dyDescent="0.2">
      <c r="A150"/>
      <c r="B150"/>
      <c r="C150"/>
      <c r="D150"/>
      <c r="E150" s="7"/>
      <c r="F150"/>
      <c r="G150"/>
      <c r="H150" s="37"/>
      <c r="I150" s="10"/>
      <c r="J150" s="10"/>
      <c r="K150" s="10"/>
      <c r="L150" s="10"/>
      <c r="M150" s="51"/>
    </row>
    <row r="151" spans="1:13" x14ac:dyDescent="0.2">
      <c r="A151"/>
      <c r="B151"/>
      <c r="C151"/>
      <c r="D151"/>
      <c r="E151" s="7"/>
      <c r="F151"/>
      <c r="G151"/>
      <c r="H151" s="37"/>
      <c r="I151" s="10"/>
      <c r="J151" s="10"/>
      <c r="K151" s="10"/>
      <c r="L151" s="10"/>
      <c r="M151" s="51"/>
    </row>
    <row r="152" spans="1:13" x14ac:dyDescent="0.2">
      <c r="A152"/>
      <c r="B152"/>
      <c r="C152"/>
      <c r="D152"/>
      <c r="E152" s="7"/>
      <c r="F152"/>
      <c r="G152"/>
      <c r="H152" s="37"/>
      <c r="I152" s="10"/>
      <c r="J152" s="10"/>
      <c r="K152" s="10"/>
      <c r="L152" s="10"/>
      <c r="M152" s="51"/>
    </row>
    <row r="153" spans="1:13" x14ac:dyDescent="0.2">
      <c r="A153"/>
      <c r="B153"/>
      <c r="C153"/>
      <c r="D153"/>
      <c r="E153" s="7"/>
      <c r="F153"/>
      <c r="G153"/>
      <c r="H153" s="37"/>
      <c r="I153" s="10"/>
      <c r="J153" s="10"/>
      <c r="K153" s="10"/>
      <c r="L153" s="10"/>
      <c r="M153" s="51"/>
    </row>
    <row r="154" spans="1:13" x14ac:dyDescent="0.2">
      <c r="A154"/>
      <c r="B154"/>
      <c r="C154"/>
      <c r="D154"/>
      <c r="E154" s="7"/>
      <c r="F154"/>
      <c r="G154"/>
      <c r="H154" s="37"/>
      <c r="I154" s="10"/>
      <c r="J154" s="10"/>
      <c r="K154" s="10"/>
      <c r="L154" s="10"/>
      <c r="M154" s="51"/>
    </row>
    <row r="155" spans="1:13" x14ac:dyDescent="0.2">
      <c r="A155"/>
      <c r="B155"/>
      <c r="C155"/>
      <c r="D155"/>
      <c r="E155" s="7"/>
      <c r="F155"/>
      <c r="G155"/>
      <c r="H155" s="37"/>
      <c r="I155" s="10"/>
      <c r="J155" s="10"/>
      <c r="K155" s="10"/>
      <c r="L155" s="10"/>
      <c r="M155" s="51"/>
    </row>
    <row r="156" spans="1:13" x14ac:dyDescent="0.2">
      <c r="A156"/>
      <c r="B156"/>
      <c r="C156"/>
      <c r="D156"/>
      <c r="E156" s="7"/>
      <c r="F156"/>
      <c r="G156"/>
      <c r="H156" s="37"/>
      <c r="I156" s="10"/>
      <c r="J156" s="10"/>
      <c r="K156" s="10"/>
      <c r="L156" s="10"/>
      <c r="M156" s="51"/>
    </row>
    <row r="157" spans="1:13" x14ac:dyDescent="0.2">
      <c r="A157"/>
      <c r="B157"/>
      <c r="C157"/>
      <c r="D157"/>
      <c r="E157" s="7"/>
      <c r="F157"/>
      <c r="G157"/>
      <c r="H157" s="37"/>
      <c r="I157" s="10"/>
      <c r="J157" s="10"/>
      <c r="K157" s="10"/>
      <c r="L157" s="10"/>
      <c r="M157" s="51"/>
    </row>
    <row r="158" spans="1:13" x14ac:dyDescent="0.2">
      <c r="A158"/>
      <c r="B158"/>
      <c r="C158"/>
      <c r="D158"/>
      <c r="E158" s="7"/>
      <c r="F158"/>
      <c r="G158"/>
      <c r="H158" s="37"/>
      <c r="I158" s="10"/>
      <c r="J158" s="10"/>
      <c r="K158" s="10"/>
      <c r="L158" s="10"/>
      <c r="M158" s="51"/>
    </row>
    <row r="159" spans="1:13" x14ac:dyDescent="0.2">
      <c r="A159"/>
      <c r="B159"/>
      <c r="C159"/>
      <c r="D159"/>
      <c r="E159" s="7"/>
      <c r="F159"/>
      <c r="G159"/>
      <c r="H159" s="37"/>
      <c r="I159" s="10"/>
      <c r="J159" s="10"/>
      <c r="K159" s="10"/>
      <c r="L159" s="10"/>
      <c r="M159" s="51"/>
    </row>
    <row r="160" spans="1:13" x14ac:dyDescent="0.2">
      <c r="A160"/>
      <c r="B160"/>
      <c r="C160"/>
      <c r="D160"/>
      <c r="E160" s="7"/>
      <c r="F160"/>
      <c r="G160"/>
      <c r="H160" s="37"/>
      <c r="I160" s="10"/>
      <c r="J160" s="10"/>
      <c r="K160" s="10"/>
      <c r="L160" s="10"/>
      <c r="M160" s="51"/>
    </row>
    <row r="161" spans="1:13" x14ac:dyDescent="0.2">
      <c r="A161"/>
      <c r="B161"/>
      <c r="C161"/>
      <c r="D161"/>
      <c r="E161" s="7"/>
      <c r="F161"/>
      <c r="G161"/>
      <c r="H161" s="37"/>
      <c r="I161" s="10"/>
      <c r="J161" s="10"/>
      <c r="K161" s="10"/>
      <c r="L161" s="10"/>
      <c r="M161" s="51"/>
    </row>
    <row r="162" spans="1:13" x14ac:dyDescent="0.2">
      <c r="A162"/>
      <c r="B162"/>
      <c r="C162"/>
      <c r="D162"/>
      <c r="E162" s="7"/>
      <c r="F162"/>
      <c r="G162"/>
      <c r="H162" s="37"/>
      <c r="I162" s="10"/>
      <c r="J162" s="10"/>
      <c r="K162" s="10"/>
      <c r="L162" s="10"/>
      <c r="M162" s="51"/>
    </row>
    <row r="163" spans="1:13" x14ac:dyDescent="0.2">
      <c r="A163"/>
      <c r="B163"/>
      <c r="C163"/>
      <c r="D163"/>
      <c r="E163" s="7"/>
      <c r="F163"/>
      <c r="G163"/>
      <c r="H163" s="37"/>
      <c r="I163" s="10"/>
      <c r="J163" s="10"/>
      <c r="K163" s="10"/>
      <c r="L163" s="10"/>
      <c r="M163" s="51"/>
    </row>
    <row r="164" spans="1:13" x14ac:dyDescent="0.2">
      <c r="A164"/>
      <c r="B164"/>
      <c r="C164"/>
      <c r="D164"/>
      <c r="E164" s="7"/>
      <c r="F164"/>
      <c r="G164"/>
      <c r="H164" s="37"/>
      <c r="I164" s="10"/>
      <c r="J164" s="10"/>
      <c r="K164" s="10"/>
      <c r="L164" s="10"/>
      <c r="M164" s="51"/>
    </row>
    <row r="165" spans="1:13" x14ac:dyDescent="0.2">
      <c r="A165"/>
      <c r="B165"/>
      <c r="C165"/>
      <c r="D165"/>
      <c r="E165" s="7"/>
      <c r="F165"/>
      <c r="G165"/>
      <c r="H165" s="37"/>
      <c r="I165" s="10"/>
      <c r="J165" s="10"/>
      <c r="K165" s="10"/>
      <c r="L165" s="10"/>
      <c r="M165" s="51"/>
    </row>
    <row r="166" spans="1:13" x14ac:dyDescent="0.2">
      <c r="A166"/>
      <c r="B166"/>
      <c r="C166"/>
      <c r="D166"/>
      <c r="E166" s="7"/>
      <c r="F166"/>
      <c r="G166"/>
      <c r="H166" s="37"/>
      <c r="I166" s="10"/>
      <c r="J166" s="10"/>
      <c r="K166" s="10"/>
      <c r="L166" s="10"/>
      <c r="M166" s="51"/>
    </row>
    <row r="167" spans="1:13" x14ac:dyDescent="0.2">
      <c r="A167"/>
      <c r="B167"/>
      <c r="C167"/>
      <c r="D167"/>
      <c r="E167" s="7"/>
      <c r="F167"/>
      <c r="G167"/>
      <c r="H167" s="37"/>
      <c r="I167" s="10"/>
      <c r="J167" s="10"/>
      <c r="K167" s="10"/>
      <c r="L167" s="10"/>
      <c r="M167" s="51"/>
    </row>
    <row r="168" spans="1:13" x14ac:dyDescent="0.2">
      <c r="A168"/>
      <c r="B168"/>
      <c r="C168"/>
      <c r="D168"/>
      <c r="E168" s="7"/>
      <c r="F168"/>
      <c r="G168"/>
      <c r="H168" s="37"/>
      <c r="I168" s="10"/>
      <c r="J168" s="10"/>
      <c r="K168" s="10"/>
      <c r="L168" s="10"/>
      <c r="M168" s="51"/>
    </row>
    <row r="169" spans="1:13" x14ac:dyDescent="0.2">
      <c r="A169"/>
      <c r="B169"/>
      <c r="C169"/>
      <c r="D169"/>
      <c r="E169" s="7"/>
      <c r="F169"/>
      <c r="G169"/>
      <c r="H169" s="37"/>
      <c r="I169" s="10"/>
      <c r="J169" s="10"/>
      <c r="K169" s="10"/>
      <c r="L169" s="10"/>
      <c r="M169" s="51"/>
    </row>
    <row r="170" spans="1:13" x14ac:dyDescent="0.2">
      <c r="A170"/>
      <c r="B170"/>
      <c r="C170"/>
      <c r="D170"/>
      <c r="E170" s="7"/>
      <c r="F170"/>
      <c r="G170"/>
      <c r="H170" s="37"/>
      <c r="I170" s="10"/>
      <c r="J170" s="10"/>
      <c r="K170" s="10"/>
      <c r="L170" s="10"/>
      <c r="M170" s="51"/>
    </row>
    <row r="171" spans="1:13" x14ac:dyDescent="0.2">
      <c r="A171"/>
      <c r="B171"/>
      <c r="C171"/>
      <c r="D171"/>
      <c r="E171" s="7"/>
      <c r="F171"/>
      <c r="G171"/>
      <c r="H171" s="37"/>
      <c r="I171" s="10"/>
      <c r="J171" s="10"/>
      <c r="K171" s="10"/>
      <c r="L171" s="10"/>
      <c r="M171" s="51"/>
    </row>
    <row r="172" spans="1:13" x14ac:dyDescent="0.2">
      <c r="A172"/>
      <c r="B172"/>
      <c r="C172"/>
      <c r="D172"/>
      <c r="E172" s="7"/>
      <c r="F172"/>
      <c r="G172"/>
      <c r="H172" s="37"/>
      <c r="I172" s="10"/>
      <c r="J172" s="10"/>
      <c r="K172" s="10"/>
      <c r="L172" s="10"/>
      <c r="M172" s="51"/>
    </row>
    <row r="173" spans="1:13" x14ac:dyDescent="0.2">
      <c r="A173"/>
      <c r="B173"/>
      <c r="C173"/>
      <c r="D173"/>
      <c r="E173" s="7"/>
      <c r="F173"/>
      <c r="G173"/>
      <c r="H173" s="37"/>
      <c r="I173" s="10"/>
      <c r="J173" s="10"/>
      <c r="K173" s="10"/>
      <c r="L173" s="10"/>
      <c r="M173" s="51"/>
    </row>
    <row r="174" spans="1:13" x14ac:dyDescent="0.2">
      <c r="A174"/>
      <c r="B174"/>
      <c r="C174"/>
      <c r="D174"/>
      <c r="E174" s="7"/>
      <c r="F174"/>
      <c r="G174"/>
      <c r="H174" s="37"/>
      <c r="I174" s="10"/>
      <c r="J174" s="10"/>
      <c r="K174" s="10"/>
      <c r="L174" s="10"/>
      <c r="M174" s="51"/>
    </row>
    <row r="175" spans="1:13" x14ac:dyDescent="0.2">
      <c r="A175"/>
      <c r="B175"/>
      <c r="C175"/>
      <c r="D175"/>
      <c r="E175" s="7"/>
      <c r="F175"/>
      <c r="G175"/>
      <c r="H175" s="37"/>
      <c r="I175" s="10"/>
      <c r="J175" s="10"/>
      <c r="K175" s="10"/>
      <c r="L175" s="10"/>
      <c r="M175" s="51"/>
    </row>
    <row r="176" spans="1:13" x14ac:dyDescent="0.2">
      <c r="A176"/>
      <c r="B176"/>
      <c r="C176"/>
      <c r="D176"/>
      <c r="E176" s="7"/>
      <c r="F176"/>
      <c r="G176"/>
      <c r="H176" s="37"/>
      <c r="I176" s="10"/>
      <c r="J176" s="10"/>
      <c r="K176" s="10"/>
      <c r="L176" s="10"/>
      <c r="M176" s="51"/>
    </row>
    <row r="177" spans="1:13" x14ac:dyDescent="0.2">
      <c r="A177"/>
      <c r="B177"/>
      <c r="C177"/>
      <c r="D177"/>
      <c r="E177" s="7"/>
      <c r="F177"/>
      <c r="G177"/>
      <c r="H177" s="37"/>
      <c r="I177" s="10"/>
      <c r="J177" s="10"/>
      <c r="K177" s="10"/>
      <c r="L177" s="10"/>
      <c r="M177" s="51"/>
    </row>
    <row r="178" spans="1:13" x14ac:dyDescent="0.2">
      <c r="A178"/>
      <c r="B178"/>
      <c r="C178"/>
      <c r="D178"/>
      <c r="E178" s="7"/>
      <c r="F178"/>
      <c r="G178"/>
      <c r="H178" s="37"/>
      <c r="I178" s="10"/>
      <c r="J178" s="10"/>
      <c r="K178" s="10"/>
      <c r="L178" s="10"/>
      <c r="M178" s="51"/>
    </row>
    <row r="179" spans="1:13" x14ac:dyDescent="0.2">
      <c r="A179"/>
      <c r="B179"/>
      <c r="C179"/>
      <c r="D179"/>
      <c r="E179" s="7"/>
      <c r="F179"/>
      <c r="G179"/>
      <c r="H179" s="37"/>
      <c r="I179" s="10"/>
      <c r="J179" s="10"/>
      <c r="K179" s="10"/>
      <c r="L179" s="10"/>
      <c r="M179" s="51"/>
    </row>
    <row r="180" spans="1:13" x14ac:dyDescent="0.2">
      <c r="A180"/>
      <c r="B180"/>
      <c r="C180"/>
      <c r="D180"/>
      <c r="E180" s="7"/>
      <c r="F180"/>
      <c r="G180"/>
      <c r="H180" s="37"/>
      <c r="I180" s="10"/>
      <c r="J180" s="10"/>
      <c r="K180" s="10"/>
      <c r="L180" s="10"/>
      <c r="M180" s="51"/>
    </row>
    <row r="181" spans="1:13" x14ac:dyDescent="0.2">
      <c r="A181"/>
      <c r="B181"/>
      <c r="C181"/>
      <c r="D181"/>
      <c r="E181" s="7"/>
      <c r="F181"/>
      <c r="G181"/>
      <c r="H181" s="37"/>
      <c r="I181" s="10"/>
      <c r="J181" s="10"/>
      <c r="K181" s="10"/>
      <c r="L181" s="10"/>
      <c r="M181" s="51"/>
    </row>
    <row r="182" spans="1:13" x14ac:dyDescent="0.2">
      <c r="A182"/>
      <c r="B182"/>
      <c r="C182"/>
      <c r="D182"/>
      <c r="E182" s="7"/>
      <c r="F182"/>
      <c r="G182"/>
      <c r="H182" s="37"/>
      <c r="I182" s="10"/>
      <c r="J182" s="10"/>
      <c r="K182" s="10"/>
      <c r="L182" s="10"/>
      <c r="M182" s="51"/>
    </row>
    <row r="183" spans="1:13" x14ac:dyDescent="0.2">
      <c r="A183"/>
      <c r="B183"/>
      <c r="C183"/>
      <c r="D183"/>
      <c r="E183" s="7"/>
      <c r="F183"/>
      <c r="G183"/>
      <c r="H183" s="37"/>
      <c r="I183" s="10"/>
      <c r="J183" s="10"/>
      <c r="K183" s="10"/>
      <c r="L183" s="10"/>
      <c r="M183" s="51"/>
    </row>
    <row r="184" spans="1:13" x14ac:dyDescent="0.2">
      <c r="A184"/>
      <c r="B184"/>
      <c r="C184"/>
      <c r="D184"/>
      <c r="E184" s="7"/>
      <c r="F184"/>
      <c r="G184"/>
      <c r="H184" s="37"/>
      <c r="I184" s="10"/>
      <c r="J184" s="10"/>
      <c r="K184" s="10"/>
      <c r="L184" s="10"/>
      <c r="M184" s="51"/>
    </row>
    <row r="185" spans="1:13" x14ac:dyDescent="0.2">
      <c r="A185"/>
      <c r="B185"/>
      <c r="C185"/>
      <c r="D185"/>
      <c r="E185" s="7"/>
      <c r="F185"/>
      <c r="G185"/>
      <c r="H185" s="37"/>
      <c r="I185" s="10"/>
      <c r="J185" s="10"/>
      <c r="K185" s="10"/>
      <c r="L185" s="10"/>
      <c r="M185" s="51"/>
    </row>
    <row r="186" spans="1:13" x14ac:dyDescent="0.2">
      <c r="A186"/>
      <c r="B186"/>
      <c r="C186"/>
      <c r="D186"/>
      <c r="E186" s="7"/>
      <c r="F186"/>
      <c r="G186"/>
      <c r="H186" s="37"/>
      <c r="I186" s="10"/>
      <c r="J186" s="10"/>
      <c r="K186" s="10"/>
      <c r="L186" s="10"/>
      <c r="M186" s="51"/>
    </row>
    <row r="187" spans="1:13" x14ac:dyDescent="0.2">
      <c r="A187"/>
      <c r="B187"/>
      <c r="C187"/>
      <c r="D187"/>
      <c r="E187" s="7"/>
      <c r="F187"/>
      <c r="G187"/>
      <c r="H187" s="37"/>
      <c r="I187" s="10"/>
      <c r="J187" s="10"/>
      <c r="K187" s="10"/>
      <c r="L187" s="10"/>
      <c r="M187" s="51"/>
    </row>
    <row r="188" spans="1:13" x14ac:dyDescent="0.2">
      <c r="A188"/>
      <c r="B188"/>
      <c r="C188"/>
      <c r="D188"/>
      <c r="E188" s="7"/>
      <c r="F188"/>
      <c r="G188"/>
      <c r="H188" s="37"/>
      <c r="I188" s="10"/>
      <c r="J188" s="10"/>
      <c r="K188" s="10"/>
      <c r="L188" s="10"/>
      <c r="M188" s="51"/>
    </row>
    <row r="189" spans="1:13" x14ac:dyDescent="0.2">
      <c r="A189"/>
      <c r="B189"/>
      <c r="C189"/>
      <c r="D189"/>
      <c r="E189" s="7"/>
      <c r="F189"/>
      <c r="G189"/>
      <c r="H189" s="37"/>
      <c r="I189" s="10"/>
      <c r="J189" s="10"/>
      <c r="K189" s="10"/>
      <c r="L189" s="10"/>
      <c r="M189" s="51"/>
    </row>
    <row r="190" spans="1:13" x14ac:dyDescent="0.2">
      <c r="A190"/>
      <c r="B190"/>
      <c r="C190"/>
      <c r="D190"/>
      <c r="E190" s="7"/>
      <c r="F190"/>
      <c r="G190"/>
      <c r="H190" s="37"/>
      <c r="I190" s="10"/>
      <c r="J190" s="10"/>
      <c r="K190" s="10"/>
      <c r="L190" s="10"/>
      <c r="M190" s="51"/>
    </row>
    <row r="191" spans="1:13" x14ac:dyDescent="0.2">
      <c r="A191"/>
      <c r="B191"/>
      <c r="C191"/>
      <c r="D191"/>
      <c r="E191" s="7"/>
      <c r="F191"/>
      <c r="G191"/>
      <c r="H191" s="37"/>
      <c r="I191" s="10"/>
      <c r="J191" s="10"/>
      <c r="K191" s="10"/>
      <c r="L191" s="10"/>
      <c r="M191" s="51"/>
    </row>
    <row r="192" spans="1:13" x14ac:dyDescent="0.2">
      <c r="A192"/>
      <c r="B192"/>
      <c r="C192"/>
      <c r="D192"/>
      <c r="E192" s="7"/>
      <c r="F192"/>
      <c r="G192"/>
      <c r="H192" s="37"/>
      <c r="I192" s="10"/>
      <c r="J192" s="10"/>
      <c r="K192" s="10"/>
      <c r="L192" s="10"/>
      <c r="M192" s="51"/>
    </row>
    <row r="193" spans="1:13" x14ac:dyDescent="0.2">
      <c r="A193"/>
      <c r="B193"/>
      <c r="C193"/>
      <c r="D193"/>
      <c r="E193" s="7"/>
      <c r="F193"/>
      <c r="G193"/>
      <c r="H193" s="37"/>
      <c r="I193" s="10"/>
      <c r="J193" s="10"/>
      <c r="K193" s="10"/>
      <c r="L193" s="10"/>
      <c r="M193" s="51"/>
    </row>
    <row r="194" spans="1:13" x14ac:dyDescent="0.2">
      <c r="A194"/>
      <c r="B194"/>
      <c r="C194"/>
      <c r="D194"/>
      <c r="E194" s="7"/>
      <c r="F194"/>
      <c r="G194"/>
      <c r="H194" s="37"/>
      <c r="I194" s="10"/>
      <c r="J194" s="10"/>
      <c r="K194" s="10"/>
      <c r="L194" s="10"/>
      <c r="M194" s="51"/>
    </row>
    <row r="195" spans="1:13" x14ac:dyDescent="0.2">
      <c r="A195"/>
      <c r="B195"/>
      <c r="C195"/>
      <c r="D195"/>
      <c r="E195" s="7"/>
      <c r="F195"/>
      <c r="G195"/>
      <c r="H195" s="37"/>
      <c r="I195" s="10"/>
      <c r="J195" s="10"/>
      <c r="K195" s="10"/>
      <c r="L195" s="10"/>
      <c r="M195" s="51"/>
    </row>
    <row r="196" spans="1:13" x14ac:dyDescent="0.2">
      <c r="A196"/>
      <c r="B196"/>
      <c r="C196"/>
      <c r="D196"/>
      <c r="E196" s="7"/>
      <c r="F196"/>
      <c r="G196"/>
      <c r="H196" s="37"/>
      <c r="I196" s="10"/>
      <c r="J196" s="10"/>
      <c r="K196" s="10"/>
      <c r="L196" s="10"/>
      <c r="M196" s="51"/>
    </row>
    <row r="197" spans="1:13" x14ac:dyDescent="0.2">
      <c r="A197"/>
      <c r="B197"/>
      <c r="C197"/>
      <c r="D197"/>
      <c r="E197" s="7"/>
      <c r="F197"/>
      <c r="G197"/>
      <c r="H197" s="37"/>
      <c r="I197" s="10"/>
      <c r="J197" s="10"/>
      <c r="K197" s="10"/>
      <c r="L197" s="10"/>
      <c r="M197" s="51"/>
    </row>
    <row r="198" spans="1:13" x14ac:dyDescent="0.2">
      <c r="A198"/>
      <c r="B198"/>
      <c r="C198"/>
      <c r="D198"/>
      <c r="E198" s="7"/>
      <c r="F198"/>
      <c r="G198"/>
      <c r="H198" s="37"/>
      <c r="I198" s="10"/>
      <c r="J198" s="10"/>
      <c r="K198" s="10"/>
      <c r="L198" s="10"/>
      <c r="M198" s="51"/>
    </row>
    <row r="199" spans="1:13" x14ac:dyDescent="0.2">
      <c r="A199"/>
      <c r="B199"/>
      <c r="C199"/>
      <c r="D199"/>
      <c r="E199" s="7"/>
      <c r="F199"/>
      <c r="G199"/>
      <c r="H199" s="37"/>
      <c r="I199" s="10"/>
      <c r="J199" s="10"/>
      <c r="K199" s="10"/>
      <c r="L199" s="10"/>
      <c r="M199" s="51"/>
    </row>
    <row r="200" spans="1:13" x14ac:dyDescent="0.2">
      <c r="A200"/>
      <c r="B200"/>
      <c r="C200"/>
      <c r="D200"/>
      <c r="E200" s="7"/>
      <c r="F200"/>
      <c r="G200"/>
      <c r="H200" s="37"/>
      <c r="I200" s="10"/>
      <c r="J200" s="10"/>
      <c r="K200" s="10"/>
      <c r="L200" s="10"/>
      <c r="M200" s="51"/>
    </row>
    <row r="201" spans="1:13" x14ac:dyDescent="0.2">
      <c r="A201"/>
      <c r="B201"/>
      <c r="C201"/>
      <c r="D201"/>
      <c r="E201" s="7"/>
      <c r="F201"/>
      <c r="G201"/>
      <c r="H201" s="37"/>
      <c r="I201" s="10"/>
      <c r="J201" s="10"/>
      <c r="K201" s="10"/>
      <c r="L201" s="10"/>
      <c r="M201" s="51"/>
    </row>
    <row r="202" spans="1:13" x14ac:dyDescent="0.2">
      <c r="A202"/>
      <c r="B202"/>
      <c r="C202"/>
      <c r="D202"/>
      <c r="E202" s="7"/>
      <c r="F202"/>
      <c r="G202"/>
      <c r="H202" s="37"/>
      <c r="I202" s="10"/>
      <c r="J202" s="10"/>
      <c r="K202" s="10"/>
      <c r="L202" s="10"/>
      <c r="M202" s="51"/>
    </row>
    <row r="203" spans="1:13" x14ac:dyDescent="0.2">
      <c r="A203"/>
      <c r="B203"/>
      <c r="C203"/>
      <c r="D203"/>
      <c r="E203" s="7"/>
      <c r="F203"/>
      <c r="G203"/>
      <c r="H203" s="37"/>
      <c r="I203" s="10"/>
      <c r="J203" s="10"/>
      <c r="K203" s="10"/>
      <c r="L203" s="10"/>
      <c r="M203" s="51"/>
    </row>
    <row r="204" spans="1:13" x14ac:dyDescent="0.2">
      <c r="A204"/>
      <c r="B204"/>
      <c r="C204"/>
      <c r="D204"/>
      <c r="E204" s="7"/>
      <c r="F204"/>
      <c r="G204"/>
      <c r="H204" s="37"/>
      <c r="I204" s="10"/>
      <c r="J204" s="10"/>
      <c r="K204" s="10"/>
      <c r="L204" s="10"/>
      <c r="M204" s="51"/>
    </row>
    <row r="205" spans="1:13" x14ac:dyDescent="0.2">
      <c r="A205"/>
      <c r="B205"/>
      <c r="C205"/>
      <c r="D205"/>
      <c r="E205" s="7"/>
      <c r="F205"/>
      <c r="G205"/>
      <c r="H205" s="37"/>
      <c r="I205" s="10"/>
      <c r="J205" s="10"/>
      <c r="K205" s="10"/>
      <c r="L205" s="10"/>
      <c r="M205" s="51"/>
    </row>
    <row r="206" spans="1:13" x14ac:dyDescent="0.2">
      <c r="A206"/>
      <c r="B206"/>
      <c r="C206"/>
      <c r="D206"/>
      <c r="E206" s="7"/>
      <c r="F206"/>
      <c r="G206"/>
      <c r="H206" s="37"/>
      <c r="I206" s="10"/>
      <c r="J206" s="10"/>
      <c r="K206" s="10"/>
      <c r="L206" s="10"/>
      <c r="M206" s="51"/>
    </row>
    <row r="207" spans="1:13" x14ac:dyDescent="0.2">
      <c r="A207"/>
      <c r="B207"/>
      <c r="C207"/>
      <c r="D207"/>
      <c r="E207" s="7"/>
      <c r="F207"/>
      <c r="G207"/>
      <c r="H207" s="37"/>
      <c r="I207" s="10"/>
      <c r="J207" s="10"/>
      <c r="K207" s="10"/>
      <c r="L207" s="10"/>
      <c r="M207" s="51"/>
    </row>
    <row r="208" spans="1:13" x14ac:dyDescent="0.2">
      <c r="A208"/>
      <c r="B208"/>
      <c r="C208"/>
      <c r="D208"/>
      <c r="E208" s="7"/>
      <c r="F208"/>
      <c r="G208"/>
      <c r="H208" s="37"/>
      <c r="I208" s="10"/>
      <c r="J208" s="10"/>
      <c r="K208" s="10"/>
      <c r="L208" s="10"/>
      <c r="M208" s="51"/>
    </row>
    <row r="209" spans="1:13" x14ac:dyDescent="0.2">
      <c r="A209"/>
      <c r="B209"/>
      <c r="C209"/>
      <c r="D209"/>
      <c r="E209" s="7"/>
      <c r="F209"/>
      <c r="G209"/>
      <c r="H209" s="37"/>
      <c r="I209" s="10"/>
      <c r="J209" s="10"/>
      <c r="K209" s="10"/>
      <c r="L209" s="10"/>
      <c r="M209" s="51"/>
    </row>
    <row r="210" spans="1:13" x14ac:dyDescent="0.2">
      <c r="A210"/>
      <c r="B210"/>
      <c r="C210"/>
      <c r="D210"/>
      <c r="E210" s="7"/>
      <c r="F210"/>
      <c r="G210"/>
      <c r="H210" s="37"/>
      <c r="I210" s="10"/>
      <c r="J210" s="10"/>
      <c r="K210" s="10"/>
      <c r="L210" s="10"/>
      <c r="M210" s="51"/>
    </row>
    <row r="211" spans="1:13" x14ac:dyDescent="0.2">
      <c r="A211"/>
      <c r="B211"/>
      <c r="C211"/>
      <c r="D211"/>
      <c r="E211" s="7"/>
      <c r="F211"/>
      <c r="G211"/>
      <c r="H211" s="37"/>
      <c r="I211" s="10"/>
      <c r="J211" s="10"/>
      <c r="K211" s="10"/>
      <c r="L211" s="10"/>
      <c r="M211" s="51"/>
    </row>
    <row r="212" spans="1:13" x14ac:dyDescent="0.2">
      <c r="A212"/>
      <c r="B212"/>
      <c r="C212"/>
      <c r="D212"/>
      <c r="E212" s="7"/>
      <c r="F212"/>
      <c r="G212"/>
      <c r="H212" s="37"/>
      <c r="I212" s="10"/>
      <c r="J212" s="10"/>
      <c r="K212" s="10"/>
      <c r="L212" s="10"/>
      <c r="M212" s="51"/>
    </row>
    <row r="213" spans="1:13" x14ac:dyDescent="0.2">
      <c r="A213"/>
      <c r="B213"/>
      <c r="C213"/>
      <c r="D213"/>
      <c r="E213" s="7"/>
      <c r="F213"/>
      <c r="G213"/>
      <c r="H213" s="37"/>
      <c r="I213" s="10"/>
      <c r="J213" s="10"/>
      <c r="K213" s="10"/>
      <c r="L213" s="10"/>
      <c r="M213" s="51"/>
    </row>
    <row r="214" spans="1:13" x14ac:dyDescent="0.2">
      <c r="A214"/>
      <c r="B214"/>
      <c r="C214"/>
      <c r="D214"/>
      <c r="E214" s="7"/>
      <c r="F214"/>
      <c r="G214"/>
      <c r="H214" s="37"/>
      <c r="I214" s="10"/>
      <c r="J214" s="10"/>
      <c r="K214" s="10"/>
      <c r="L214" s="10"/>
      <c r="M214" s="51"/>
    </row>
    <row r="215" spans="1:13" x14ac:dyDescent="0.2">
      <c r="A215"/>
      <c r="B215"/>
      <c r="C215"/>
      <c r="D215"/>
      <c r="E215" s="7"/>
      <c r="F215"/>
      <c r="G215"/>
      <c r="H215" s="37"/>
      <c r="I215" s="10"/>
      <c r="J215" s="10"/>
      <c r="K215" s="10"/>
      <c r="L215" s="10"/>
      <c r="M215" s="51"/>
    </row>
    <row r="216" spans="1:13" x14ac:dyDescent="0.2">
      <c r="A216"/>
      <c r="B216"/>
      <c r="C216"/>
      <c r="D216"/>
      <c r="E216" s="7"/>
      <c r="F216"/>
      <c r="G216"/>
      <c r="H216" s="37"/>
      <c r="I216" s="10"/>
      <c r="J216" s="10"/>
      <c r="K216" s="10"/>
      <c r="L216" s="10"/>
      <c r="M216" s="51"/>
    </row>
    <row r="217" spans="1:13" x14ac:dyDescent="0.2">
      <c r="A217"/>
      <c r="B217"/>
      <c r="C217"/>
      <c r="D217"/>
      <c r="E217" s="7"/>
      <c r="F217"/>
      <c r="G217"/>
      <c r="H217" s="37"/>
      <c r="I217" s="10"/>
      <c r="J217" s="10"/>
      <c r="K217" s="10"/>
      <c r="L217" s="10"/>
      <c r="M217" s="51"/>
    </row>
    <row r="218" spans="1:13" x14ac:dyDescent="0.2">
      <c r="A218"/>
      <c r="B218"/>
      <c r="C218"/>
      <c r="D218"/>
      <c r="E218" s="7"/>
      <c r="F218"/>
      <c r="G218"/>
      <c r="H218" s="37"/>
      <c r="I218" s="10"/>
      <c r="J218" s="10"/>
      <c r="K218" s="10"/>
      <c r="L218" s="10"/>
      <c r="M218" s="51"/>
    </row>
    <row r="219" spans="1:13" x14ac:dyDescent="0.2">
      <c r="A219"/>
      <c r="B219"/>
      <c r="C219"/>
      <c r="D219"/>
      <c r="E219" s="7"/>
      <c r="F219"/>
      <c r="G219"/>
      <c r="H219" s="37"/>
      <c r="I219" s="10"/>
      <c r="J219" s="10"/>
      <c r="K219" s="10"/>
      <c r="L219" s="10"/>
      <c r="M219" s="51"/>
    </row>
    <row r="220" spans="1:13" x14ac:dyDescent="0.2">
      <c r="A220"/>
      <c r="B220"/>
      <c r="C220"/>
      <c r="D220"/>
      <c r="E220" s="7"/>
      <c r="F220"/>
      <c r="G220"/>
      <c r="H220" s="37"/>
      <c r="I220" s="10"/>
      <c r="J220" s="10"/>
      <c r="K220" s="10"/>
      <c r="L220" s="10"/>
      <c r="M220" s="51"/>
    </row>
    <row r="221" spans="1:13" x14ac:dyDescent="0.2">
      <c r="A221"/>
      <c r="B221"/>
      <c r="C221"/>
      <c r="D221"/>
      <c r="E221" s="7"/>
      <c r="F221"/>
      <c r="G221"/>
      <c r="H221" s="37"/>
      <c r="I221" s="10"/>
      <c r="J221" s="10"/>
      <c r="K221" s="10"/>
      <c r="L221" s="10"/>
      <c r="M221" s="51"/>
    </row>
    <row r="222" spans="1:13" x14ac:dyDescent="0.2">
      <c r="A222"/>
      <c r="B222"/>
      <c r="C222"/>
      <c r="D222"/>
      <c r="E222" s="7"/>
      <c r="F222"/>
      <c r="G222"/>
      <c r="H222" s="37"/>
      <c r="I222" s="10"/>
      <c r="J222" s="10"/>
      <c r="K222" s="10"/>
      <c r="L222" s="10"/>
      <c r="M222" s="51"/>
    </row>
    <row r="223" spans="1:13" x14ac:dyDescent="0.2">
      <c r="A223"/>
      <c r="B223"/>
      <c r="C223"/>
      <c r="D223"/>
      <c r="E223" s="7"/>
      <c r="F223"/>
      <c r="G223"/>
      <c r="H223" s="37"/>
      <c r="I223" s="10"/>
      <c r="J223" s="10"/>
      <c r="K223" s="10"/>
      <c r="L223" s="10"/>
      <c r="M223" s="51"/>
    </row>
    <row r="224" spans="1:13" x14ac:dyDescent="0.2">
      <c r="A224"/>
      <c r="B224"/>
      <c r="C224"/>
      <c r="D224"/>
      <c r="E224" s="7"/>
      <c r="F224"/>
      <c r="G224"/>
      <c r="H224" s="37"/>
      <c r="I224" s="10"/>
      <c r="J224" s="10"/>
      <c r="K224" s="10"/>
      <c r="L224" s="10"/>
      <c r="M224" s="51"/>
    </row>
    <row r="225" spans="1:13" x14ac:dyDescent="0.2">
      <c r="A225"/>
      <c r="B225"/>
      <c r="C225"/>
      <c r="D225"/>
      <c r="E225" s="7"/>
      <c r="F225"/>
      <c r="G225"/>
      <c r="H225" s="37"/>
      <c r="I225" s="10"/>
      <c r="J225" s="10"/>
      <c r="K225" s="10"/>
      <c r="L225" s="10"/>
      <c r="M225" s="51"/>
    </row>
    <row r="226" spans="1:13" x14ac:dyDescent="0.2">
      <c r="A226"/>
      <c r="B226"/>
      <c r="C226"/>
      <c r="D226"/>
      <c r="E226" s="7"/>
      <c r="F226"/>
      <c r="G226"/>
      <c r="H226" s="37"/>
      <c r="I226" s="10"/>
      <c r="J226" s="10"/>
      <c r="K226" s="10"/>
      <c r="L226" s="10"/>
      <c r="M226" s="51"/>
    </row>
    <row r="227" spans="1:13" x14ac:dyDescent="0.2">
      <c r="A227"/>
      <c r="B227"/>
      <c r="C227"/>
      <c r="D227"/>
      <c r="E227" s="7"/>
      <c r="F227"/>
      <c r="G227"/>
      <c r="H227" s="37"/>
      <c r="I227" s="10"/>
      <c r="J227" s="10"/>
      <c r="K227" s="10"/>
      <c r="L227" s="10"/>
      <c r="M227" s="51"/>
    </row>
    <row r="228" spans="1:13" x14ac:dyDescent="0.2">
      <c r="A228"/>
      <c r="B228"/>
      <c r="C228"/>
      <c r="D228"/>
      <c r="E228" s="7"/>
      <c r="F228"/>
      <c r="G228"/>
      <c r="H228" s="37"/>
      <c r="I228" s="10"/>
      <c r="J228" s="10"/>
      <c r="K228" s="10"/>
      <c r="L228" s="10"/>
      <c r="M228" s="51"/>
    </row>
    <row r="229" spans="1:13" x14ac:dyDescent="0.2">
      <c r="A229"/>
      <c r="B229"/>
      <c r="C229"/>
      <c r="D229"/>
      <c r="E229" s="7"/>
      <c r="F229"/>
      <c r="G229"/>
      <c r="H229" s="37"/>
      <c r="I229" s="10"/>
      <c r="J229" s="10"/>
      <c r="K229" s="10"/>
      <c r="L229" s="10"/>
      <c r="M229" s="51"/>
    </row>
    <row r="230" spans="1:13" x14ac:dyDescent="0.2">
      <c r="A230"/>
      <c r="B230"/>
      <c r="C230"/>
      <c r="D230"/>
      <c r="E230" s="7"/>
      <c r="F230"/>
      <c r="G230"/>
      <c r="H230" s="37"/>
      <c r="I230" s="10"/>
      <c r="J230" s="10"/>
      <c r="K230" s="10"/>
      <c r="L230" s="10"/>
      <c r="M230" s="51"/>
    </row>
    <row r="231" spans="1:13" x14ac:dyDescent="0.2">
      <c r="A231"/>
      <c r="B231"/>
      <c r="C231"/>
      <c r="D231"/>
      <c r="E231" s="7"/>
      <c r="F231"/>
      <c r="G231"/>
      <c r="H231" s="37"/>
      <c r="I231" s="10"/>
      <c r="J231" s="10"/>
      <c r="K231" s="10"/>
      <c r="L231" s="10"/>
      <c r="M231" s="51"/>
    </row>
    <row r="232" spans="1:13" x14ac:dyDescent="0.2">
      <c r="A232"/>
      <c r="B232"/>
      <c r="C232"/>
      <c r="D232"/>
      <c r="E232" s="7"/>
      <c r="F232"/>
      <c r="G232"/>
      <c r="H232" s="37"/>
      <c r="I232" s="10"/>
      <c r="J232" s="10"/>
      <c r="K232" s="10"/>
      <c r="L232" s="10"/>
      <c r="M232" s="51"/>
    </row>
    <row r="233" spans="1:13" x14ac:dyDescent="0.2">
      <c r="A233"/>
      <c r="B233"/>
      <c r="C233"/>
      <c r="D233"/>
      <c r="E233" s="7"/>
      <c r="F233"/>
      <c r="G233"/>
      <c r="H233" s="37"/>
      <c r="I233" s="10"/>
      <c r="J233" s="10"/>
      <c r="K233" s="10"/>
      <c r="L233" s="10"/>
      <c r="M233" s="51"/>
    </row>
    <row r="234" spans="1:13" x14ac:dyDescent="0.2">
      <c r="A234"/>
      <c r="B234"/>
      <c r="C234"/>
      <c r="D234"/>
      <c r="E234" s="7"/>
      <c r="F234"/>
      <c r="G234"/>
      <c r="H234" s="37"/>
      <c r="I234" s="10"/>
      <c r="J234" s="10"/>
      <c r="K234" s="10"/>
      <c r="L234" s="10"/>
      <c r="M234" s="51"/>
    </row>
    <row r="235" spans="1:13" x14ac:dyDescent="0.2">
      <c r="A235"/>
      <c r="B235"/>
      <c r="C235"/>
      <c r="D235"/>
      <c r="E235" s="7"/>
      <c r="F235"/>
      <c r="G235"/>
      <c r="H235" s="37"/>
      <c r="I235" s="10"/>
      <c r="J235" s="10"/>
      <c r="K235" s="10"/>
      <c r="L235" s="10"/>
      <c r="M235" s="51"/>
    </row>
    <row r="236" spans="1:13" x14ac:dyDescent="0.2">
      <c r="A236"/>
      <c r="B236"/>
      <c r="C236"/>
      <c r="D236"/>
      <c r="E236" s="7"/>
      <c r="F236"/>
      <c r="G236"/>
      <c r="H236" s="37"/>
      <c r="I236" s="10"/>
      <c r="J236" s="10"/>
      <c r="K236" s="10"/>
      <c r="L236" s="10"/>
      <c r="M236" s="51"/>
    </row>
    <row r="237" spans="1:13" x14ac:dyDescent="0.2">
      <c r="A237"/>
      <c r="B237"/>
      <c r="C237"/>
      <c r="D237"/>
      <c r="E237" s="7"/>
      <c r="F237"/>
      <c r="G237"/>
      <c r="H237" s="37"/>
      <c r="I237" s="10"/>
      <c r="J237" s="10"/>
      <c r="K237" s="10"/>
      <c r="L237" s="10"/>
      <c r="M237" s="51"/>
    </row>
  </sheetData>
  <autoFilter ref="A1:M237"/>
  <pageMargins left="0.75" right="0.75" top="1" bottom="1" header="0.5" footer="0.5"/>
  <pageSetup scale="7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N240"/>
  <sheetViews>
    <sheetView zoomScale="120" zoomScaleNormal="120" workbookViewId="0">
      <pane ySplit="1" topLeftCell="A21" activePane="bottomLeft" state="frozen"/>
      <selection activeCell="L2" sqref="L2"/>
      <selection pane="bottomLeft" activeCell="A42" sqref="A42"/>
    </sheetView>
  </sheetViews>
  <sheetFormatPr defaultColWidth="9.140625" defaultRowHeight="12.75" x14ac:dyDescent="0.2"/>
  <cols>
    <col min="1" max="1" width="10.140625" style="3" customWidth="1"/>
    <col min="2" max="2" width="25.7109375" style="3" customWidth="1"/>
    <col min="3" max="3" width="10.85546875" style="3" bestFit="1" customWidth="1"/>
    <col min="4" max="4" width="13.7109375" style="3" customWidth="1"/>
    <col min="5" max="5" width="11.42578125" style="96" customWidth="1"/>
    <col min="6" max="7" width="8" style="3" customWidth="1"/>
    <col min="8" max="8" width="8" style="11" customWidth="1"/>
    <col min="9" max="9" width="10.5703125" style="11" customWidth="1"/>
    <col min="10" max="10" width="15.28515625" style="11" customWidth="1"/>
    <col min="11" max="11" width="9.140625" style="11" customWidth="1"/>
    <col min="12" max="12" width="8" style="11" customWidth="1"/>
    <col min="13" max="13" width="116.28515625" style="82" customWidth="1"/>
    <col min="14" max="14" width="27.85546875" style="14" bestFit="1" customWidth="1"/>
    <col min="15" max="16384" width="9.140625" style="3"/>
  </cols>
  <sheetData>
    <row r="1" spans="1:14" s="1" customFormat="1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94" t="s">
        <v>4</v>
      </c>
      <c r="F1" s="1" t="s">
        <v>5</v>
      </c>
      <c r="G1" s="1" t="s">
        <v>6</v>
      </c>
      <c r="H1" s="9" t="s">
        <v>7</v>
      </c>
      <c r="I1" s="30" t="s">
        <v>8</v>
      </c>
      <c r="J1" s="30" t="s">
        <v>9</v>
      </c>
      <c r="K1" s="16" t="s">
        <v>10</v>
      </c>
      <c r="L1" s="16" t="s">
        <v>11</v>
      </c>
      <c r="M1" s="77" t="s">
        <v>12</v>
      </c>
      <c r="N1" s="13"/>
    </row>
    <row r="2" spans="1:14" x14ac:dyDescent="0.2">
      <c r="A2" s="18" t="s">
        <v>187</v>
      </c>
      <c r="B2" t="s">
        <v>171</v>
      </c>
      <c r="C2" s="5">
        <v>43726</v>
      </c>
      <c r="D2" s="2" t="s">
        <v>58</v>
      </c>
      <c r="E2" s="95">
        <v>14743</v>
      </c>
      <c r="F2"/>
      <c r="G2"/>
      <c r="H2" s="19">
        <f>-0.3298-0.565</f>
        <v>-0.89479999999999993</v>
      </c>
      <c r="I2" s="33">
        <v>324.89999999999998</v>
      </c>
      <c r="J2" s="14">
        <v>324.39999999999998</v>
      </c>
      <c r="K2" s="24">
        <f>J2-I2</f>
        <v>-0.5</v>
      </c>
      <c r="L2" s="47">
        <v>-908</v>
      </c>
      <c r="M2" s="2" t="s">
        <v>164</v>
      </c>
      <c r="N2" s="3"/>
    </row>
    <row r="3" spans="1:14" x14ac:dyDescent="0.2">
      <c r="A3" s="18" t="s">
        <v>187</v>
      </c>
      <c r="B3" t="s">
        <v>171</v>
      </c>
      <c r="C3" s="5">
        <v>43726</v>
      </c>
      <c r="D3" s="2" t="s">
        <v>46</v>
      </c>
      <c r="E3" s="95">
        <v>13390041</v>
      </c>
      <c r="F3"/>
      <c r="G3"/>
      <c r="H3" s="10">
        <f>-0.7685-0.09</f>
        <v>-0.85849999999999993</v>
      </c>
      <c r="I3" s="10"/>
      <c r="J3" s="10"/>
      <c r="K3" s="10"/>
      <c r="L3" s="10"/>
      <c r="M3" s="81" t="s">
        <v>165</v>
      </c>
    </row>
    <row r="4" spans="1:14" x14ac:dyDescent="0.2">
      <c r="A4" s="18" t="s">
        <v>187</v>
      </c>
      <c r="B4" t="s">
        <v>171</v>
      </c>
      <c r="C4" s="5">
        <v>43726</v>
      </c>
      <c r="D4" s="2" t="s">
        <v>23</v>
      </c>
      <c r="E4" s="95"/>
      <c r="F4"/>
      <c r="G4"/>
      <c r="H4" s="10">
        <v>-1.8560000000000001</v>
      </c>
      <c r="I4" s="10"/>
      <c r="J4" s="10"/>
      <c r="K4" s="10"/>
      <c r="L4" s="10"/>
      <c r="M4" s="51"/>
    </row>
    <row r="5" spans="1:14" x14ac:dyDescent="0.2">
      <c r="A5" s="18" t="s">
        <v>187</v>
      </c>
      <c r="B5" t="s">
        <v>171</v>
      </c>
      <c r="C5" s="5">
        <v>43726</v>
      </c>
      <c r="D5" s="2" t="s">
        <v>21</v>
      </c>
      <c r="E5" s="95"/>
      <c r="F5">
        <v>150920</v>
      </c>
      <c r="G5">
        <v>522103</v>
      </c>
      <c r="H5" s="10">
        <v>1.7383</v>
      </c>
      <c r="I5" s="10"/>
      <c r="J5" s="10"/>
      <c r="K5" s="10"/>
      <c r="L5" s="10"/>
      <c r="M5" s="51"/>
    </row>
    <row r="6" spans="1:14" x14ac:dyDescent="0.2">
      <c r="A6" s="18" t="s">
        <v>187</v>
      </c>
      <c r="B6" t="s">
        <v>171</v>
      </c>
      <c r="C6" s="5">
        <v>43747</v>
      </c>
      <c r="D6" s="2" t="s">
        <v>58</v>
      </c>
      <c r="E6" s="95">
        <v>14743</v>
      </c>
      <c r="F6"/>
      <c r="G6"/>
      <c r="H6" s="53">
        <f>-0.3647-0.565</f>
        <v>-0.92969999999999997</v>
      </c>
      <c r="I6" s="33">
        <v>324.89999999999998</v>
      </c>
      <c r="J6" s="14">
        <v>324.39999999999998</v>
      </c>
      <c r="K6" s="24">
        <f>J6-I6</f>
        <v>-0.5</v>
      </c>
      <c r="L6" s="47">
        <v>-908</v>
      </c>
      <c r="M6" s="45">
        <f>-0.3647-0.565</f>
        <v>-0.92969999999999997</v>
      </c>
    </row>
    <row r="7" spans="1:14" x14ac:dyDescent="0.2">
      <c r="A7" s="18" t="s">
        <v>187</v>
      </c>
      <c r="B7" t="s">
        <v>171</v>
      </c>
      <c r="C7" s="5">
        <v>43747</v>
      </c>
      <c r="D7" s="2" t="s">
        <v>46</v>
      </c>
      <c r="E7" s="95">
        <v>13390041</v>
      </c>
      <c r="F7"/>
      <c r="G7"/>
      <c r="H7" s="10">
        <f>-0.7685-0.09</f>
        <v>-0.85849999999999993</v>
      </c>
      <c r="I7" s="10"/>
      <c r="J7" s="10"/>
      <c r="K7" s="10"/>
      <c r="L7" s="10"/>
      <c r="M7" s="46">
        <f>-0.7681-0.09</f>
        <v>-0.85809999999999997</v>
      </c>
    </row>
    <row r="8" spans="1:14" x14ac:dyDescent="0.2">
      <c r="A8" s="18" t="s">
        <v>187</v>
      </c>
      <c r="B8" t="s">
        <v>171</v>
      </c>
      <c r="C8" s="5">
        <v>43747</v>
      </c>
      <c r="D8" s="2" t="s">
        <v>23</v>
      </c>
      <c r="E8" s="95"/>
      <c r="F8"/>
      <c r="G8"/>
      <c r="H8" s="10">
        <v>-1.8560000000000001</v>
      </c>
      <c r="I8" s="10"/>
      <c r="J8" s="10"/>
      <c r="K8" s="10"/>
      <c r="L8" s="10"/>
      <c r="M8" s="46">
        <v>-1.8731</v>
      </c>
    </row>
    <row r="9" spans="1:14" x14ac:dyDescent="0.2">
      <c r="A9" s="18" t="s">
        <v>187</v>
      </c>
      <c r="B9" t="s">
        <v>171</v>
      </c>
      <c r="C9" s="5">
        <v>43747</v>
      </c>
      <c r="D9" s="2" t="s">
        <v>21</v>
      </c>
      <c r="E9" s="95"/>
      <c r="F9">
        <v>150920</v>
      </c>
      <c r="G9">
        <v>522103</v>
      </c>
      <c r="H9" s="10">
        <v>1.7383</v>
      </c>
      <c r="I9" s="10"/>
      <c r="J9" s="10"/>
      <c r="K9" s="10"/>
      <c r="L9" s="10"/>
      <c r="M9" s="46">
        <v>1.7154</v>
      </c>
    </row>
    <row r="10" spans="1:14" x14ac:dyDescent="0.2">
      <c r="A10" s="18" t="s">
        <v>187</v>
      </c>
      <c r="B10" t="s">
        <v>171</v>
      </c>
      <c r="C10" s="5">
        <v>43780</v>
      </c>
      <c r="D10" s="2" t="s">
        <v>58</v>
      </c>
      <c r="E10" s="95">
        <v>14743</v>
      </c>
      <c r="F10"/>
      <c r="G10"/>
      <c r="H10" s="53">
        <f>-0.3647-0.565</f>
        <v>-0.92969999999999997</v>
      </c>
      <c r="I10" s="33">
        <v>324.89999999999998</v>
      </c>
      <c r="J10" s="14">
        <v>324.39999999999998</v>
      </c>
      <c r="K10" s="24">
        <f>J10-I10</f>
        <v>-0.5</v>
      </c>
      <c r="L10" s="93">
        <f>-(908-8)</f>
        <v>-900</v>
      </c>
      <c r="M10" s="45">
        <f>-0.3366-0.565</f>
        <v>-0.90159999999999996</v>
      </c>
    </row>
    <row r="11" spans="1:14" x14ac:dyDescent="0.2">
      <c r="A11" s="18" t="s">
        <v>187</v>
      </c>
      <c r="B11" t="s">
        <v>171</v>
      </c>
      <c r="C11" s="5">
        <v>43780</v>
      </c>
      <c r="D11" s="2" t="s">
        <v>46</v>
      </c>
      <c r="E11" s="95">
        <v>13390041</v>
      </c>
      <c r="F11"/>
      <c r="G11"/>
      <c r="H11" s="10">
        <f>-0.7685-0.09</f>
        <v>-0.85849999999999993</v>
      </c>
      <c r="I11" s="10"/>
      <c r="J11" s="10"/>
      <c r="K11" s="10"/>
      <c r="L11" s="10"/>
      <c r="M11" s="46">
        <f>-0.7728-0.09</f>
        <v>-0.86280000000000001</v>
      </c>
    </row>
    <row r="12" spans="1:14" x14ac:dyDescent="0.2">
      <c r="A12" s="18" t="s">
        <v>187</v>
      </c>
      <c r="B12" t="s">
        <v>171</v>
      </c>
      <c r="C12" s="5">
        <v>43780</v>
      </c>
      <c r="D12" s="2" t="s">
        <v>23</v>
      </c>
      <c r="E12" s="95"/>
      <c r="F12"/>
      <c r="G12"/>
      <c r="H12" s="10">
        <v>-1.8560000000000001</v>
      </c>
      <c r="I12" s="10"/>
      <c r="J12" s="10"/>
      <c r="K12" s="10"/>
      <c r="L12" s="10"/>
      <c r="M12" s="46">
        <v>-1.8774999999999999</v>
      </c>
    </row>
    <row r="13" spans="1:14" x14ac:dyDescent="0.2">
      <c r="A13" s="18" t="s">
        <v>187</v>
      </c>
      <c r="B13" t="s">
        <v>171</v>
      </c>
      <c r="C13" s="5">
        <v>43780</v>
      </c>
      <c r="D13" s="2" t="s">
        <v>21</v>
      </c>
      <c r="E13" s="95"/>
      <c r="F13">
        <v>150920</v>
      </c>
      <c r="G13">
        <v>522103</v>
      </c>
      <c r="H13" s="10">
        <v>1.7383</v>
      </c>
      <c r="I13" s="10"/>
      <c r="J13" s="10"/>
      <c r="K13" s="10"/>
      <c r="L13" s="10"/>
      <c r="M13" s="46">
        <v>1.7342</v>
      </c>
    </row>
    <row r="14" spans="1:14" x14ac:dyDescent="0.2">
      <c r="A14" s="18" t="s">
        <v>187</v>
      </c>
      <c r="B14" t="s">
        <v>171</v>
      </c>
      <c r="C14" s="5">
        <v>43802</v>
      </c>
      <c r="D14" s="2" t="s">
        <v>58</v>
      </c>
      <c r="E14" s="95">
        <v>14743</v>
      </c>
      <c r="F14"/>
      <c r="G14"/>
      <c r="H14" s="53">
        <f>-0.3647-0.565</f>
        <v>-0.92969999999999997</v>
      </c>
      <c r="I14" s="33">
        <v>324.89999999999998</v>
      </c>
      <c r="J14" s="14">
        <v>324.39999999999998</v>
      </c>
      <c r="K14" s="24">
        <f>J14-I14</f>
        <v>-0.5</v>
      </c>
      <c r="L14" s="98">
        <f>-(908-8)</f>
        <v>-900</v>
      </c>
      <c r="M14" s="45">
        <f>-0.3664-0.565</f>
        <v>-0.93140000000000001</v>
      </c>
    </row>
    <row r="15" spans="1:14" x14ac:dyDescent="0.2">
      <c r="A15" s="18" t="s">
        <v>187</v>
      </c>
      <c r="B15" t="s">
        <v>171</v>
      </c>
      <c r="C15" s="5">
        <v>43802</v>
      </c>
      <c r="D15" s="2" t="s">
        <v>46</v>
      </c>
      <c r="E15" s="95">
        <v>13390041</v>
      </c>
      <c r="F15"/>
      <c r="G15"/>
      <c r="H15" s="10">
        <f>-0.7685-0.09</f>
        <v>-0.85849999999999993</v>
      </c>
      <c r="I15" s="10"/>
      <c r="J15" s="10"/>
      <c r="K15" s="10"/>
      <c r="L15" s="10"/>
      <c r="M15" s="46">
        <f>-0.779-0.1</f>
        <v>-0.879</v>
      </c>
    </row>
    <row r="16" spans="1:14" x14ac:dyDescent="0.2">
      <c r="A16" s="18" t="s">
        <v>187</v>
      </c>
      <c r="B16" t="s">
        <v>171</v>
      </c>
      <c r="C16" s="5">
        <v>43802</v>
      </c>
      <c r="D16" s="2" t="s">
        <v>23</v>
      </c>
      <c r="E16" s="95"/>
      <c r="F16"/>
      <c r="G16"/>
      <c r="H16" s="10">
        <v>-1.8560000000000001</v>
      </c>
      <c r="I16" s="10"/>
      <c r="J16" s="10"/>
      <c r="K16" s="10"/>
      <c r="L16" s="10"/>
      <c r="M16" s="46">
        <v>-1.8873</v>
      </c>
    </row>
    <row r="17" spans="1:13" x14ac:dyDescent="0.2">
      <c r="A17" s="18" t="s">
        <v>187</v>
      </c>
      <c r="B17" t="s">
        <v>171</v>
      </c>
      <c r="C17" s="5">
        <v>43802</v>
      </c>
      <c r="D17" s="2" t="s">
        <v>21</v>
      </c>
      <c r="E17" s="95"/>
      <c r="F17">
        <v>150920</v>
      </c>
      <c r="G17">
        <v>522103</v>
      </c>
      <c r="H17" s="10">
        <v>1.7383</v>
      </c>
      <c r="I17" s="10"/>
      <c r="J17" s="10"/>
      <c r="K17" s="10"/>
      <c r="L17" s="10"/>
      <c r="M17" s="46">
        <v>1.7089000000000001</v>
      </c>
    </row>
    <row r="18" spans="1:13" x14ac:dyDescent="0.2">
      <c r="A18" s="18" t="s">
        <v>187</v>
      </c>
      <c r="B18" t="s">
        <v>171</v>
      </c>
      <c r="C18" s="5">
        <v>43838</v>
      </c>
      <c r="D18" s="2" t="s">
        <v>58</v>
      </c>
      <c r="E18" s="95">
        <v>14743</v>
      </c>
      <c r="F18"/>
      <c r="G18"/>
      <c r="H18" s="53">
        <f>-0.4021-0.565</f>
        <v>-0.96709999999999996</v>
      </c>
      <c r="I18" s="33">
        <v>324.89999999999998</v>
      </c>
      <c r="J18" s="14">
        <v>324.39999999999998</v>
      </c>
      <c r="K18" s="24">
        <f>J18-I18</f>
        <v>-0.5</v>
      </c>
      <c r="L18" s="98">
        <f>-(908-8)</f>
        <v>-900</v>
      </c>
      <c r="M18" s="45">
        <f>-0.4021-0.565</f>
        <v>-0.96709999999999996</v>
      </c>
    </row>
    <row r="19" spans="1:13" x14ac:dyDescent="0.2">
      <c r="A19" s="18" t="s">
        <v>187</v>
      </c>
      <c r="B19" t="s">
        <v>171</v>
      </c>
      <c r="C19" s="5">
        <v>43838</v>
      </c>
      <c r="D19" s="2" t="s">
        <v>46</v>
      </c>
      <c r="E19" s="95">
        <v>13390041</v>
      </c>
      <c r="F19"/>
      <c r="G19"/>
      <c r="H19" s="37">
        <f>-0.8021-0.1</f>
        <v>-0.90210000000000001</v>
      </c>
      <c r="I19" s="10"/>
      <c r="J19" s="10"/>
      <c r="K19" s="10"/>
      <c r="L19" s="10"/>
      <c r="M19" s="46">
        <f>-0.8021-0.1</f>
        <v>-0.90210000000000001</v>
      </c>
    </row>
    <row r="20" spans="1:13" x14ac:dyDescent="0.2">
      <c r="A20" s="18" t="s">
        <v>187</v>
      </c>
      <c r="B20" t="s">
        <v>171</v>
      </c>
      <c r="C20" s="5">
        <v>43838</v>
      </c>
      <c r="D20" s="2" t="s">
        <v>23</v>
      </c>
      <c r="E20" s="95"/>
      <c r="F20"/>
      <c r="G20"/>
      <c r="H20" s="10">
        <v>-1.8835</v>
      </c>
      <c r="I20" s="10"/>
      <c r="J20" s="10"/>
      <c r="K20" s="10"/>
      <c r="L20" s="10"/>
      <c r="M20" s="46">
        <v>-1.8835</v>
      </c>
    </row>
    <row r="21" spans="1:13" x14ac:dyDescent="0.2">
      <c r="A21" s="18" t="s">
        <v>187</v>
      </c>
      <c r="B21" t="s">
        <v>171</v>
      </c>
      <c r="C21" s="5">
        <v>43838</v>
      </c>
      <c r="D21" s="2" t="s">
        <v>21</v>
      </c>
      <c r="E21" s="95"/>
      <c r="F21">
        <v>150920</v>
      </c>
      <c r="G21">
        <v>522103</v>
      </c>
      <c r="H21" s="37">
        <v>1.6606000000000001</v>
      </c>
      <c r="I21" s="10"/>
      <c r="J21" s="10"/>
      <c r="K21" s="10"/>
      <c r="L21" s="10"/>
      <c r="M21" s="46">
        <v>1.6606000000000001</v>
      </c>
    </row>
    <row r="22" spans="1:13" x14ac:dyDescent="0.2">
      <c r="A22" s="18" t="s">
        <v>187</v>
      </c>
      <c r="B22" t="s">
        <v>171</v>
      </c>
      <c r="C22" s="5">
        <v>43858</v>
      </c>
      <c r="D22" s="2" t="s">
        <v>58</v>
      </c>
      <c r="E22" s="95">
        <v>14743</v>
      </c>
      <c r="F22"/>
      <c r="G22"/>
      <c r="H22" s="109">
        <f>-0.4042-0.565</f>
        <v>-0.96919999999999995</v>
      </c>
      <c r="I22" s="33">
        <v>324.89999999999998</v>
      </c>
      <c r="J22" s="14">
        <v>324.39999999999998</v>
      </c>
      <c r="K22" s="24">
        <f>J22-I22</f>
        <v>-0.5</v>
      </c>
      <c r="L22" s="98">
        <f>-(908-8)</f>
        <v>-900</v>
      </c>
      <c r="M22" s="106" t="s">
        <v>188</v>
      </c>
    </row>
    <row r="23" spans="1:13" x14ac:dyDescent="0.2">
      <c r="A23" s="18" t="s">
        <v>187</v>
      </c>
      <c r="B23" t="s">
        <v>171</v>
      </c>
      <c r="C23" s="5">
        <v>43858</v>
      </c>
      <c r="D23" s="2" t="s">
        <v>46</v>
      </c>
      <c r="E23" s="95">
        <v>13390041</v>
      </c>
      <c r="F23"/>
      <c r="G23"/>
      <c r="H23" s="37">
        <f>-0.8021-0.1</f>
        <v>-0.90210000000000001</v>
      </c>
      <c r="I23" s="10"/>
      <c r="J23" s="10"/>
      <c r="K23" s="10"/>
      <c r="L23" s="10"/>
      <c r="M23" s="46">
        <f>-0.7897-0.1</f>
        <v>-0.88969999999999994</v>
      </c>
    </row>
    <row r="24" spans="1:13" x14ac:dyDescent="0.2">
      <c r="A24" s="18" t="s">
        <v>187</v>
      </c>
      <c r="B24" t="s">
        <v>171</v>
      </c>
      <c r="C24" s="5">
        <v>43858</v>
      </c>
      <c r="D24" s="2" t="s">
        <v>23</v>
      </c>
      <c r="E24" s="95"/>
      <c r="F24"/>
      <c r="G24"/>
      <c r="H24" s="10">
        <v>-1.8442000000000001</v>
      </c>
      <c r="I24" s="10"/>
      <c r="J24" s="10"/>
      <c r="K24" s="10"/>
      <c r="L24" s="10"/>
      <c r="M24" s="46">
        <v>-1.8442000000000001</v>
      </c>
    </row>
    <row r="25" spans="1:13" x14ac:dyDescent="0.2">
      <c r="A25" s="18" t="s">
        <v>187</v>
      </c>
      <c r="B25" t="s">
        <v>171</v>
      </c>
      <c r="C25" s="5">
        <v>43858</v>
      </c>
      <c r="D25" s="2" t="s">
        <v>21</v>
      </c>
      <c r="E25" s="95"/>
      <c r="F25">
        <v>150920</v>
      </c>
      <c r="G25">
        <v>522103</v>
      </c>
      <c r="H25" s="37">
        <v>1.6838</v>
      </c>
      <c r="I25" s="10"/>
      <c r="J25" s="10"/>
      <c r="K25" s="10"/>
      <c r="L25" s="10"/>
      <c r="M25" s="46">
        <v>1.6838</v>
      </c>
    </row>
    <row r="26" spans="1:13" x14ac:dyDescent="0.2">
      <c r="A26" s="18" t="s">
        <v>187</v>
      </c>
      <c r="B26" t="s">
        <v>171</v>
      </c>
      <c r="C26" s="5">
        <v>43888</v>
      </c>
      <c r="D26" s="2" t="s">
        <v>58</v>
      </c>
      <c r="E26" s="95">
        <v>14743</v>
      </c>
      <c r="F26"/>
      <c r="G26"/>
      <c r="H26" s="109">
        <f>-0.4042-0.565</f>
        <v>-0.96919999999999995</v>
      </c>
      <c r="I26" s="33">
        <v>324.89999999999998</v>
      </c>
      <c r="J26" s="14">
        <v>324.39999999999998</v>
      </c>
      <c r="K26" s="24">
        <f>J26-I26</f>
        <v>-0.5</v>
      </c>
      <c r="L26" s="98">
        <f>-(908-8)</f>
        <v>-900</v>
      </c>
      <c r="M26" s="45" t="s">
        <v>189</v>
      </c>
    </row>
    <row r="27" spans="1:13" x14ac:dyDescent="0.2">
      <c r="A27" s="18" t="s">
        <v>187</v>
      </c>
      <c r="B27" t="s">
        <v>171</v>
      </c>
      <c r="C27" s="5">
        <v>43888</v>
      </c>
      <c r="D27" s="2" t="s">
        <v>46</v>
      </c>
      <c r="E27" s="95">
        <v>13390041</v>
      </c>
      <c r="F27"/>
      <c r="G27"/>
      <c r="H27" s="37">
        <f>-0.8021-0.1</f>
        <v>-0.90210000000000001</v>
      </c>
      <c r="I27" s="10"/>
      <c r="J27" s="10"/>
      <c r="K27" s="10"/>
      <c r="L27" s="10"/>
      <c r="M27" s="45" t="s">
        <v>80</v>
      </c>
    </row>
    <row r="28" spans="1:13" x14ac:dyDescent="0.2">
      <c r="A28" s="18" t="s">
        <v>187</v>
      </c>
      <c r="B28" t="s">
        <v>171</v>
      </c>
      <c r="C28" s="5">
        <v>43888</v>
      </c>
      <c r="D28" s="2" t="s">
        <v>23</v>
      </c>
      <c r="E28" s="95"/>
      <c r="F28"/>
      <c r="G28"/>
      <c r="H28" s="37">
        <v>-1.8948</v>
      </c>
      <c r="I28" s="10"/>
      <c r="J28" s="10"/>
      <c r="K28" s="10"/>
      <c r="L28" s="10"/>
      <c r="M28" s="46">
        <v>-1.8948</v>
      </c>
    </row>
    <row r="29" spans="1:13" x14ac:dyDescent="0.2">
      <c r="A29" s="18" t="s">
        <v>187</v>
      </c>
      <c r="B29" t="s">
        <v>171</v>
      </c>
      <c r="C29" s="5">
        <v>43888</v>
      </c>
      <c r="D29" s="2" t="s">
        <v>21</v>
      </c>
      <c r="E29" s="95"/>
      <c r="F29">
        <v>150920</v>
      </c>
      <c r="G29">
        <v>522103</v>
      </c>
      <c r="H29" s="37">
        <v>1.6838</v>
      </c>
      <c r="I29" s="10"/>
      <c r="J29" s="10"/>
      <c r="K29" s="10"/>
      <c r="L29" s="10"/>
      <c r="M29" s="46">
        <v>1.6787000000000001</v>
      </c>
    </row>
    <row r="30" spans="1:13" x14ac:dyDescent="0.2">
      <c r="A30" s="18" t="s">
        <v>187</v>
      </c>
      <c r="B30" t="s">
        <v>171</v>
      </c>
      <c r="C30" s="5">
        <v>43914</v>
      </c>
      <c r="D30" s="2" t="s">
        <v>58</v>
      </c>
      <c r="E30" s="95">
        <v>14743</v>
      </c>
      <c r="F30"/>
      <c r="G30"/>
      <c r="H30" s="53">
        <f>-0.4042-0.565</f>
        <v>-0.96919999999999995</v>
      </c>
      <c r="I30" s="33">
        <v>324.89999999999998</v>
      </c>
      <c r="J30" s="14">
        <v>324.39999999999998</v>
      </c>
      <c r="K30" s="24">
        <f>J30-I30</f>
        <v>-0.5</v>
      </c>
      <c r="L30" s="98">
        <f>-(908-8)</f>
        <v>-900</v>
      </c>
      <c r="M30" s="45">
        <f>-0.4042-0.565</f>
        <v>-0.96919999999999995</v>
      </c>
    </row>
    <row r="31" spans="1:13" x14ac:dyDescent="0.2">
      <c r="A31" s="18" t="s">
        <v>187</v>
      </c>
      <c r="B31" t="s">
        <v>171</v>
      </c>
      <c r="C31" s="5">
        <v>43914</v>
      </c>
      <c r="D31" s="2" t="s">
        <v>46</v>
      </c>
      <c r="E31" s="95">
        <v>13390041</v>
      </c>
      <c r="F31"/>
      <c r="G31"/>
      <c r="H31" s="37">
        <f>-0.8101-0.1</f>
        <v>-0.91010000000000002</v>
      </c>
      <c r="I31" s="10"/>
      <c r="J31" s="10"/>
      <c r="K31" s="10"/>
      <c r="L31" s="10"/>
      <c r="M31" s="46">
        <f>-0.8101-0.1</f>
        <v>-0.91010000000000002</v>
      </c>
    </row>
    <row r="32" spans="1:13" x14ac:dyDescent="0.2">
      <c r="A32" s="18" t="s">
        <v>187</v>
      </c>
      <c r="B32" t="s">
        <v>171</v>
      </c>
      <c r="C32" s="5">
        <v>43914</v>
      </c>
      <c r="D32" s="2" t="s">
        <v>23</v>
      </c>
      <c r="E32" s="95"/>
      <c r="F32"/>
      <c r="G32"/>
      <c r="H32" s="37">
        <v>-1.7799</v>
      </c>
      <c r="I32" s="10"/>
      <c r="J32" s="10"/>
      <c r="K32" s="10"/>
      <c r="L32" s="10"/>
      <c r="M32" s="46">
        <v>-1.7799</v>
      </c>
    </row>
    <row r="33" spans="1:14" s="4" customFormat="1" x14ac:dyDescent="0.2">
      <c r="A33" s="18" t="s">
        <v>187</v>
      </c>
      <c r="B33" t="s">
        <v>171</v>
      </c>
      <c r="C33" s="5">
        <v>43914</v>
      </c>
      <c r="D33" s="2" t="s">
        <v>21</v>
      </c>
      <c r="E33" s="95"/>
      <c r="F33">
        <v>150920</v>
      </c>
      <c r="G33">
        <v>522103</v>
      </c>
      <c r="H33" s="37">
        <v>1.6838</v>
      </c>
      <c r="I33" s="10"/>
      <c r="J33" s="10"/>
      <c r="K33" s="10"/>
      <c r="L33" s="10"/>
      <c r="M33" s="46">
        <v>1.6835</v>
      </c>
      <c r="N33" s="15"/>
    </row>
    <row r="34" spans="1:14" x14ac:dyDescent="0.2">
      <c r="A34" s="18" t="s">
        <v>187</v>
      </c>
      <c r="B34" t="s">
        <v>171</v>
      </c>
      <c r="C34" s="5">
        <v>43944</v>
      </c>
      <c r="D34" s="2" t="s">
        <v>58</v>
      </c>
      <c r="E34" s="95">
        <v>14743</v>
      </c>
      <c r="F34"/>
      <c r="G34"/>
      <c r="H34" s="53">
        <f>-0.4538-0.565</f>
        <v>-1.0187999999999999</v>
      </c>
      <c r="I34" s="33">
        <v>324.89999999999998</v>
      </c>
      <c r="J34" s="14">
        <v>324.39999999999998</v>
      </c>
      <c r="K34" s="24">
        <f>J34-I34</f>
        <v>-0.5</v>
      </c>
      <c r="L34" s="98">
        <f>-(908-8)</f>
        <v>-900</v>
      </c>
      <c r="M34" s="45">
        <f>-0.4538-0.565</f>
        <v>-1.0187999999999999</v>
      </c>
    </row>
    <row r="35" spans="1:14" x14ac:dyDescent="0.2">
      <c r="A35" s="18" t="s">
        <v>187</v>
      </c>
      <c r="B35" t="s">
        <v>171</v>
      </c>
      <c r="C35" s="5">
        <v>43944</v>
      </c>
      <c r="D35" s="2" t="s">
        <v>46</v>
      </c>
      <c r="E35" s="95">
        <v>13390041</v>
      </c>
      <c r="F35"/>
      <c r="G35"/>
      <c r="H35" s="37">
        <f>-0.8101-0.1</f>
        <v>-0.91010000000000002</v>
      </c>
      <c r="I35" s="10"/>
      <c r="J35" s="10"/>
      <c r="K35" s="10"/>
      <c r="L35" s="10"/>
      <c r="M35" s="46">
        <f>-0.7924-0.1</f>
        <v>-0.89239999999999997</v>
      </c>
    </row>
    <row r="36" spans="1:14" x14ac:dyDescent="0.2">
      <c r="A36" s="18" t="s">
        <v>187</v>
      </c>
      <c r="B36" t="s">
        <v>171</v>
      </c>
      <c r="C36" s="5">
        <v>43944</v>
      </c>
      <c r="D36" s="2" t="s">
        <v>23</v>
      </c>
      <c r="E36" s="95"/>
      <c r="F36"/>
      <c r="G36"/>
      <c r="H36" s="37">
        <v>-1.8804000000000001</v>
      </c>
      <c r="I36" s="10"/>
      <c r="J36" s="10"/>
      <c r="K36" s="10"/>
      <c r="L36" s="10"/>
      <c r="M36" s="46">
        <v>-1.8804000000000001</v>
      </c>
    </row>
    <row r="37" spans="1:14" s="4" customFormat="1" x14ac:dyDescent="0.2">
      <c r="A37" s="18" t="s">
        <v>187</v>
      </c>
      <c r="B37" t="s">
        <v>171</v>
      </c>
      <c r="C37" s="5">
        <v>43944</v>
      </c>
      <c r="D37" s="2" t="s">
        <v>21</v>
      </c>
      <c r="E37" s="95"/>
      <c r="F37">
        <v>150920</v>
      </c>
      <c r="G37">
        <v>522103</v>
      </c>
      <c r="H37" s="37">
        <v>1.6493</v>
      </c>
      <c r="I37" s="10"/>
      <c r="J37" s="10"/>
      <c r="K37" s="10"/>
      <c r="L37" s="10"/>
      <c r="M37" s="46">
        <v>1.6493</v>
      </c>
      <c r="N37" s="15"/>
    </row>
    <row r="38" spans="1:14" x14ac:dyDescent="0.2">
      <c r="A38" s="18" t="s">
        <v>187</v>
      </c>
      <c r="B38" t="s">
        <v>171</v>
      </c>
      <c r="C38" s="5">
        <v>43970</v>
      </c>
      <c r="D38" s="2" t="s">
        <v>58</v>
      </c>
      <c r="E38" s="95">
        <v>14743</v>
      </c>
      <c r="F38"/>
      <c r="G38"/>
      <c r="H38" s="53">
        <f>-0.4538-0.565</f>
        <v>-1.0187999999999999</v>
      </c>
      <c r="I38" s="33">
        <v>324.89999999999998</v>
      </c>
      <c r="J38" s="14">
        <v>324.39999999999998</v>
      </c>
      <c r="K38" s="24">
        <f>J38-I38</f>
        <v>-0.5</v>
      </c>
      <c r="L38" s="93">
        <f>-(908-8-6)</f>
        <v>-894</v>
      </c>
      <c r="M38" s="45">
        <f>-0.4344-0.565</f>
        <v>-0.99939999999999996</v>
      </c>
    </row>
    <row r="39" spans="1:14" x14ac:dyDescent="0.2">
      <c r="A39" s="18" t="s">
        <v>187</v>
      </c>
      <c r="B39" t="s">
        <v>171</v>
      </c>
      <c r="C39" s="5">
        <v>43970</v>
      </c>
      <c r="D39" s="2" t="s">
        <v>46</v>
      </c>
      <c r="E39" s="95">
        <v>13390041</v>
      </c>
      <c r="F39"/>
      <c r="G39"/>
      <c r="H39" s="37">
        <f>-0.8535-0.1</f>
        <v>-0.95350000000000001</v>
      </c>
      <c r="I39" s="10"/>
      <c r="J39" s="10"/>
      <c r="K39" s="10"/>
      <c r="L39" s="10"/>
      <c r="M39" s="46">
        <f>-0.8535-0.1</f>
        <v>-0.95350000000000001</v>
      </c>
    </row>
    <row r="40" spans="1:14" x14ac:dyDescent="0.2">
      <c r="A40" s="18" t="s">
        <v>187</v>
      </c>
      <c r="B40" t="s">
        <v>171</v>
      </c>
      <c r="C40" s="5">
        <v>43970</v>
      </c>
      <c r="D40" s="2" t="s">
        <v>23</v>
      </c>
      <c r="E40" s="95"/>
      <c r="F40"/>
      <c r="G40"/>
      <c r="H40" s="37">
        <v>-1.8452</v>
      </c>
      <c r="I40" s="10"/>
      <c r="J40" s="10"/>
      <c r="K40" s="10"/>
      <c r="L40" s="10"/>
      <c r="M40" s="46">
        <v>-1.8452</v>
      </c>
    </row>
    <row r="41" spans="1:14" s="126" customFormat="1" ht="13.5" thickBot="1" x14ac:dyDescent="0.25">
      <c r="A41" s="117" t="s">
        <v>187</v>
      </c>
      <c r="B41" s="118" t="s">
        <v>171</v>
      </c>
      <c r="C41" s="129">
        <v>43970</v>
      </c>
      <c r="D41" s="120" t="s">
        <v>21</v>
      </c>
      <c r="E41" s="130"/>
      <c r="F41" s="118">
        <v>150920</v>
      </c>
      <c r="G41" s="118">
        <v>522103</v>
      </c>
      <c r="H41" s="122">
        <v>1.629</v>
      </c>
      <c r="I41" s="123"/>
      <c r="J41" s="123"/>
      <c r="K41" s="123"/>
      <c r="L41" s="123"/>
      <c r="M41" s="124">
        <v>1.629</v>
      </c>
      <c r="N41" s="125"/>
    </row>
    <row r="42" spans="1:14" x14ac:dyDescent="0.2">
      <c r="A42"/>
      <c r="B42"/>
      <c r="C42"/>
      <c r="D42"/>
      <c r="E42" s="95"/>
      <c r="F42"/>
      <c r="G42"/>
      <c r="H42" s="10"/>
      <c r="I42" s="10"/>
      <c r="J42" s="10"/>
      <c r="K42" s="10"/>
      <c r="L42" s="10"/>
      <c r="M42" s="51"/>
    </row>
    <row r="43" spans="1:14" x14ac:dyDescent="0.2">
      <c r="A43"/>
      <c r="B43"/>
      <c r="C43"/>
      <c r="D43"/>
      <c r="E43" s="95"/>
      <c r="F43"/>
      <c r="G43"/>
      <c r="H43" s="10"/>
      <c r="I43" s="10"/>
      <c r="J43" s="10"/>
      <c r="K43" s="10"/>
      <c r="L43" s="10"/>
      <c r="M43" s="51"/>
    </row>
    <row r="44" spans="1:14" x14ac:dyDescent="0.2">
      <c r="A44"/>
      <c r="B44"/>
      <c r="C44"/>
      <c r="D44"/>
      <c r="E44" s="95"/>
      <c r="F44"/>
      <c r="G44"/>
      <c r="H44" s="10"/>
      <c r="I44" s="10"/>
      <c r="J44" s="10"/>
      <c r="K44" s="10"/>
      <c r="L44" s="10"/>
      <c r="M44" s="51"/>
    </row>
    <row r="45" spans="1:14" x14ac:dyDescent="0.2">
      <c r="A45"/>
      <c r="B45"/>
      <c r="C45"/>
      <c r="D45"/>
      <c r="E45" s="95"/>
      <c r="F45"/>
      <c r="G45"/>
      <c r="H45" s="10"/>
      <c r="I45" s="10"/>
      <c r="J45" s="10"/>
      <c r="K45" s="10"/>
      <c r="L45" s="10"/>
      <c r="M45" s="51"/>
    </row>
    <row r="46" spans="1:14" x14ac:dyDescent="0.2">
      <c r="A46"/>
      <c r="B46"/>
      <c r="C46"/>
      <c r="D46"/>
      <c r="E46" s="95"/>
      <c r="F46"/>
      <c r="G46"/>
      <c r="H46" s="10"/>
      <c r="I46" s="10"/>
      <c r="J46" s="10"/>
      <c r="K46" s="10"/>
      <c r="L46" s="10"/>
      <c r="M46" s="51"/>
    </row>
    <row r="47" spans="1:14" x14ac:dyDescent="0.2">
      <c r="A47"/>
      <c r="B47"/>
      <c r="C47"/>
      <c r="D47"/>
      <c r="E47" s="95"/>
      <c r="F47"/>
      <c r="G47"/>
      <c r="H47" s="10"/>
      <c r="I47" s="10"/>
      <c r="J47" s="10"/>
      <c r="K47" s="10"/>
      <c r="L47" s="10"/>
      <c r="M47" s="51"/>
    </row>
    <row r="48" spans="1:14" x14ac:dyDescent="0.2">
      <c r="A48"/>
      <c r="B48"/>
      <c r="C48"/>
      <c r="D48"/>
      <c r="E48" s="95"/>
      <c r="F48"/>
      <c r="G48"/>
      <c r="H48" s="10"/>
      <c r="I48" s="10"/>
      <c r="J48" s="10"/>
      <c r="K48" s="10"/>
      <c r="L48" s="10"/>
      <c r="M48" s="51"/>
    </row>
    <row r="49" spans="1:13" x14ac:dyDescent="0.2">
      <c r="A49"/>
      <c r="B49"/>
      <c r="C49"/>
      <c r="D49"/>
      <c r="E49" s="95"/>
      <c r="F49"/>
      <c r="G49"/>
      <c r="H49" s="10"/>
      <c r="I49" s="10"/>
      <c r="J49" s="10"/>
      <c r="K49" s="10"/>
      <c r="L49" s="10"/>
      <c r="M49" s="51"/>
    </row>
    <row r="50" spans="1:13" x14ac:dyDescent="0.2">
      <c r="A50"/>
      <c r="B50"/>
      <c r="C50"/>
      <c r="D50"/>
      <c r="E50" s="95"/>
      <c r="F50"/>
      <c r="G50"/>
      <c r="H50" s="10"/>
      <c r="I50" s="10"/>
      <c r="J50" s="10"/>
      <c r="K50" s="10"/>
      <c r="L50" s="10"/>
      <c r="M50" s="51"/>
    </row>
    <row r="51" spans="1:13" x14ac:dyDescent="0.2">
      <c r="A51"/>
      <c r="B51"/>
      <c r="C51"/>
      <c r="D51"/>
      <c r="E51" s="95"/>
      <c r="F51"/>
      <c r="G51"/>
      <c r="H51" s="10"/>
      <c r="I51" s="10"/>
      <c r="J51" s="10"/>
      <c r="K51" s="10"/>
      <c r="L51" s="10"/>
      <c r="M51" s="51"/>
    </row>
    <row r="52" spans="1:13" x14ac:dyDescent="0.2">
      <c r="A52"/>
      <c r="B52"/>
      <c r="C52"/>
      <c r="D52"/>
      <c r="E52" s="95"/>
      <c r="F52"/>
      <c r="G52"/>
      <c r="H52" s="10"/>
      <c r="I52" s="10"/>
      <c r="J52" s="10"/>
      <c r="K52" s="10"/>
      <c r="L52" s="10"/>
      <c r="M52" s="51"/>
    </row>
    <row r="53" spans="1:13" x14ac:dyDescent="0.2">
      <c r="A53"/>
      <c r="B53"/>
      <c r="C53"/>
      <c r="D53"/>
      <c r="E53" s="95"/>
      <c r="F53"/>
      <c r="G53"/>
      <c r="H53" s="10"/>
      <c r="I53" s="10"/>
      <c r="J53" s="10"/>
      <c r="K53" s="10"/>
      <c r="L53" s="10"/>
      <c r="M53" s="51"/>
    </row>
    <row r="54" spans="1:13" x14ac:dyDescent="0.2">
      <c r="A54"/>
      <c r="B54"/>
      <c r="C54"/>
      <c r="D54"/>
      <c r="E54" s="95"/>
      <c r="F54"/>
      <c r="G54"/>
      <c r="H54" s="10"/>
      <c r="I54" s="10"/>
      <c r="J54" s="10"/>
      <c r="K54" s="10"/>
      <c r="L54" s="10"/>
      <c r="M54" s="51"/>
    </row>
    <row r="55" spans="1:13" ht="33.75" customHeight="1" x14ac:dyDescent="0.2">
      <c r="A55"/>
      <c r="B55"/>
      <c r="C55"/>
      <c r="D55"/>
      <c r="E55" s="95"/>
      <c r="F55"/>
      <c r="G55"/>
      <c r="H55" s="10"/>
      <c r="I55" s="10"/>
      <c r="J55" s="10"/>
      <c r="K55" s="10"/>
      <c r="L55" s="10"/>
      <c r="M55" s="51"/>
    </row>
    <row r="56" spans="1:13" x14ac:dyDescent="0.2">
      <c r="A56"/>
      <c r="B56"/>
      <c r="C56"/>
      <c r="D56"/>
      <c r="E56" s="95"/>
      <c r="F56"/>
      <c r="G56"/>
      <c r="H56" s="10"/>
      <c r="I56" s="10"/>
      <c r="J56" s="10"/>
      <c r="K56" s="10"/>
      <c r="L56" s="10"/>
      <c r="M56" s="51"/>
    </row>
    <row r="57" spans="1:13" x14ac:dyDescent="0.2">
      <c r="A57"/>
      <c r="B57"/>
      <c r="C57"/>
      <c r="D57"/>
      <c r="E57" s="95"/>
      <c r="F57"/>
      <c r="G57"/>
      <c r="H57" s="10"/>
      <c r="I57" s="10"/>
      <c r="J57" s="10"/>
      <c r="K57" s="10"/>
      <c r="L57" s="10"/>
      <c r="M57" s="51"/>
    </row>
    <row r="58" spans="1:13" x14ac:dyDescent="0.2">
      <c r="A58"/>
      <c r="B58"/>
      <c r="C58"/>
      <c r="D58"/>
      <c r="E58" s="95"/>
      <c r="F58"/>
      <c r="G58"/>
      <c r="H58" s="10"/>
      <c r="I58" s="10"/>
      <c r="J58" s="10"/>
      <c r="K58" s="10"/>
      <c r="L58" s="10"/>
      <c r="M58" s="51"/>
    </row>
    <row r="59" spans="1:13" x14ac:dyDescent="0.2">
      <c r="A59"/>
      <c r="B59"/>
      <c r="C59"/>
      <c r="D59"/>
      <c r="E59" s="95"/>
      <c r="F59"/>
      <c r="G59"/>
      <c r="H59" s="10"/>
      <c r="I59" s="10"/>
      <c r="J59" s="10"/>
      <c r="K59" s="10"/>
      <c r="L59" s="10"/>
      <c r="M59" s="51"/>
    </row>
    <row r="60" spans="1:13" x14ac:dyDescent="0.2">
      <c r="A60"/>
      <c r="B60"/>
      <c r="C60"/>
      <c r="D60"/>
      <c r="E60" s="95"/>
      <c r="F60"/>
      <c r="G60"/>
      <c r="H60" s="10"/>
      <c r="I60" s="10"/>
      <c r="J60" s="10"/>
      <c r="K60" s="10"/>
      <c r="L60" s="10"/>
      <c r="M60" s="51"/>
    </row>
    <row r="61" spans="1:13" x14ac:dyDescent="0.2">
      <c r="A61"/>
      <c r="B61"/>
      <c r="C61"/>
      <c r="D61"/>
      <c r="E61" s="95"/>
      <c r="F61"/>
      <c r="G61"/>
      <c r="H61" s="10"/>
      <c r="I61" s="10"/>
      <c r="J61" s="10"/>
      <c r="K61" s="10"/>
      <c r="L61" s="10"/>
      <c r="M61" s="51"/>
    </row>
    <row r="62" spans="1:13" x14ac:dyDescent="0.2">
      <c r="A62"/>
      <c r="B62"/>
      <c r="C62"/>
      <c r="D62"/>
      <c r="E62" s="95"/>
      <c r="F62"/>
      <c r="G62"/>
      <c r="H62" s="10"/>
      <c r="I62" s="10"/>
      <c r="J62" s="10"/>
      <c r="K62" s="10"/>
      <c r="L62" s="10"/>
      <c r="M62" s="51"/>
    </row>
    <row r="63" spans="1:13" x14ac:dyDescent="0.2">
      <c r="A63"/>
      <c r="B63"/>
      <c r="C63"/>
      <c r="D63"/>
      <c r="E63" s="95"/>
      <c r="F63"/>
      <c r="G63"/>
      <c r="H63" s="10"/>
      <c r="I63" s="10"/>
      <c r="J63" s="10"/>
      <c r="K63" s="10"/>
      <c r="L63" s="10"/>
      <c r="M63" s="51"/>
    </row>
    <row r="64" spans="1:13" x14ac:dyDescent="0.2">
      <c r="A64"/>
      <c r="B64"/>
      <c r="C64"/>
      <c r="D64"/>
      <c r="E64" s="95"/>
      <c r="F64"/>
      <c r="G64"/>
      <c r="H64" s="10"/>
      <c r="I64" s="10"/>
      <c r="J64" s="10"/>
      <c r="K64" s="10"/>
      <c r="L64" s="10"/>
      <c r="M64" s="51"/>
    </row>
    <row r="65" spans="1:13" x14ac:dyDescent="0.2">
      <c r="A65"/>
      <c r="B65"/>
      <c r="C65"/>
      <c r="D65"/>
      <c r="E65" s="95"/>
      <c r="F65"/>
      <c r="G65"/>
      <c r="H65" s="10"/>
      <c r="I65" s="10"/>
      <c r="J65" s="10"/>
      <c r="K65" s="10"/>
      <c r="L65" s="10"/>
      <c r="M65" s="51"/>
    </row>
    <row r="66" spans="1:13" x14ac:dyDescent="0.2">
      <c r="A66"/>
      <c r="B66"/>
      <c r="C66"/>
      <c r="D66"/>
      <c r="E66" s="95"/>
      <c r="F66"/>
      <c r="G66"/>
      <c r="H66" s="10"/>
      <c r="I66" s="10"/>
      <c r="J66" s="10"/>
      <c r="K66" s="10"/>
      <c r="L66" s="10"/>
      <c r="M66" s="51"/>
    </row>
    <row r="67" spans="1:13" ht="58.5" customHeight="1" x14ac:dyDescent="0.2">
      <c r="A67"/>
      <c r="B67"/>
      <c r="C67"/>
      <c r="D67"/>
      <c r="E67" s="95"/>
      <c r="F67"/>
      <c r="G67"/>
      <c r="H67" s="10"/>
      <c r="I67" s="10"/>
      <c r="J67" s="10"/>
      <c r="K67" s="10"/>
      <c r="L67" s="10"/>
      <c r="M67" s="51"/>
    </row>
    <row r="68" spans="1:13" x14ac:dyDescent="0.2">
      <c r="A68"/>
      <c r="B68"/>
      <c r="C68"/>
      <c r="D68"/>
      <c r="E68" s="95"/>
      <c r="F68"/>
      <c r="G68"/>
      <c r="H68" s="10"/>
      <c r="I68" s="10"/>
      <c r="J68" s="10"/>
      <c r="K68" s="10"/>
      <c r="L68" s="10"/>
      <c r="M68" s="51"/>
    </row>
    <row r="69" spans="1:13" x14ac:dyDescent="0.2">
      <c r="A69"/>
      <c r="B69"/>
      <c r="C69"/>
      <c r="D69"/>
      <c r="E69" s="95"/>
      <c r="F69"/>
      <c r="G69"/>
      <c r="H69" s="10"/>
      <c r="I69" s="10"/>
      <c r="J69" s="10"/>
      <c r="K69" s="10"/>
      <c r="L69" s="10"/>
      <c r="M69" s="51"/>
    </row>
    <row r="70" spans="1:13" x14ac:dyDescent="0.2">
      <c r="A70"/>
      <c r="B70"/>
      <c r="C70"/>
      <c r="D70"/>
      <c r="E70" s="95"/>
      <c r="F70"/>
      <c r="G70"/>
      <c r="H70" s="10"/>
      <c r="I70" s="10"/>
      <c r="J70" s="10"/>
      <c r="K70" s="10"/>
      <c r="L70" s="10"/>
      <c r="M70" s="51"/>
    </row>
    <row r="71" spans="1:13" x14ac:dyDescent="0.2">
      <c r="A71"/>
      <c r="B71"/>
      <c r="C71"/>
      <c r="D71"/>
      <c r="E71" s="95"/>
      <c r="F71"/>
      <c r="G71"/>
      <c r="H71" s="10"/>
      <c r="I71" s="10"/>
      <c r="J71" s="10"/>
      <c r="K71" s="10"/>
      <c r="L71" s="10"/>
      <c r="M71" s="51"/>
    </row>
    <row r="72" spans="1:13" x14ac:dyDescent="0.2">
      <c r="A72"/>
      <c r="B72"/>
      <c r="C72"/>
      <c r="D72"/>
      <c r="E72" s="95"/>
      <c r="F72"/>
      <c r="G72"/>
      <c r="H72" s="10"/>
      <c r="I72" s="10"/>
      <c r="J72" s="10"/>
      <c r="K72" s="10"/>
      <c r="L72" s="10"/>
      <c r="M72" s="51"/>
    </row>
    <row r="73" spans="1:13" x14ac:dyDescent="0.2">
      <c r="A73"/>
      <c r="B73"/>
      <c r="C73"/>
      <c r="D73"/>
      <c r="E73" s="95"/>
      <c r="F73"/>
      <c r="G73"/>
      <c r="H73" s="10"/>
      <c r="I73" s="10"/>
      <c r="J73" s="10"/>
      <c r="K73" s="10"/>
      <c r="L73" s="10"/>
      <c r="M73" s="51"/>
    </row>
    <row r="74" spans="1:13" x14ac:dyDescent="0.2">
      <c r="A74"/>
      <c r="B74"/>
      <c r="C74"/>
      <c r="D74"/>
      <c r="E74" s="95"/>
      <c r="F74"/>
      <c r="G74"/>
      <c r="H74" s="10"/>
      <c r="I74" s="10"/>
      <c r="J74" s="10"/>
      <c r="K74" s="10"/>
      <c r="L74" s="10"/>
      <c r="M74" s="51"/>
    </row>
    <row r="75" spans="1:13" x14ac:dyDescent="0.2">
      <c r="A75"/>
      <c r="B75"/>
      <c r="C75"/>
      <c r="D75"/>
      <c r="E75" s="95"/>
      <c r="F75"/>
      <c r="G75"/>
      <c r="H75" s="10"/>
      <c r="I75" s="10"/>
      <c r="J75" s="10"/>
      <c r="K75" s="10"/>
      <c r="L75" s="10"/>
      <c r="M75" s="51"/>
    </row>
    <row r="76" spans="1:13" x14ac:dyDescent="0.2">
      <c r="A76"/>
      <c r="B76"/>
      <c r="C76"/>
      <c r="D76"/>
      <c r="E76" s="95"/>
      <c r="F76"/>
      <c r="G76"/>
      <c r="H76" s="10"/>
      <c r="I76" s="10"/>
      <c r="J76" s="10"/>
      <c r="K76" s="10"/>
      <c r="L76" s="10"/>
      <c r="M76" s="51"/>
    </row>
    <row r="77" spans="1:13" x14ac:dyDescent="0.2">
      <c r="A77"/>
      <c r="B77"/>
      <c r="C77"/>
      <c r="D77"/>
      <c r="E77" s="95"/>
      <c r="F77"/>
      <c r="G77"/>
      <c r="H77" s="10"/>
      <c r="I77" s="10"/>
      <c r="J77" s="10"/>
      <c r="K77" s="10"/>
      <c r="L77" s="10"/>
      <c r="M77" s="51"/>
    </row>
    <row r="78" spans="1:13" x14ac:dyDescent="0.2">
      <c r="A78"/>
      <c r="B78"/>
      <c r="C78"/>
      <c r="D78"/>
      <c r="E78" s="95"/>
      <c r="F78"/>
      <c r="G78"/>
      <c r="H78" s="10"/>
      <c r="I78" s="10"/>
      <c r="J78" s="10"/>
      <c r="K78" s="10"/>
      <c r="L78" s="10"/>
      <c r="M78" s="51"/>
    </row>
    <row r="79" spans="1:13" x14ac:dyDescent="0.2">
      <c r="A79"/>
      <c r="B79"/>
      <c r="C79"/>
      <c r="D79"/>
      <c r="E79" s="95"/>
      <c r="F79"/>
      <c r="G79"/>
      <c r="H79" s="10"/>
      <c r="I79" s="10"/>
      <c r="J79" s="10"/>
      <c r="K79" s="10"/>
      <c r="L79" s="10"/>
      <c r="M79" s="51"/>
    </row>
    <row r="80" spans="1:13" x14ac:dyDescent="0.2">
      <c r="A80"/>
      <c r="B80"/>
      <c r="C80"/>
      <c r="D80"/>
      <c r="E80" s="95"/>
      <c r="F80"/>
      <c r="G80"/>
      <c r="H80" s="10"/>
      <c r="I80" s="10"/>
      <c r="J80" s="10"/>
      <c r="K80" s="10"/>
      <c r="L80" s="10"/>
      <c r="M80" s="51"/>
    </row>
    <row r="81" spans="1:13" x14ac:dyDescent="0.2">
      <c r="A81"/>
      <c r="B81"/>
      <c r="C81"/>
      <c r="D81"/>
      <c r="E81" s="95"/>
      <c r="F81"/>
      <c r="G81"/>
      <c r="H81" s="10"/>
      <c r="I81" s="10"/>
      <c r="J81" s="10"/>
      <c r="K81" s="10"/>
      <c r="L81" s="10"/>
      <c r="M81" s="51"/>
    </row>
    <row r="82" spans="1:13" ht="42.75" customHeight="1" x14ac:dyDescent="0.2">
      <c r="A82"/>
      <c r="B82"/>
      <c r="C82"/>
      <c r="D82"/>
      <c r="E82" s="95"/>
      <c r="F82"/>
      <c r="G82"/>
      <c r="H82" s="10"/>
      <c r="I82" s="10"/>
      <c r="J82" s="10"/>
      <c r="K82" s="10"/>
      <c r="L82" s="10"/>
      <c r="M82" s="51"/>
    </row>
    <row r="83" spans="1:13" x14ac:dyDescent="0.2">
      <c r="A83"/>
      <c r="B83"/>
      <c r="C83"/>
      <c r="D83"/>
      <c r="E83" s="95"/>
      <c r="F83"/>
      <c r="G83"/>
      <c r="H83" s="10"/>
      <c r="I83" s="10"/>
      <c r="J83" s="10"/>
      <c r="K83" s="10"/>
      <c r="L83" s="10"/>
      <c r="M83" s="51"/>
    </row>
    <row r="84" spans="1:13" ht="12.75" customHeight="1" x14ac:dyDescent="0.2">
      <c r="A84"/>
      <c r="B84"/>
      <c r="C84"/>
      <c r="D84"/>
      <c r="E84" s="95"/>
      <c r="F84"/>
      <c r="G84"/>
      <c r="H84" s="10"/>
      <c r="I84" s="10"/>
      <c r="J84" s="10"/>
      <c r="K84" s="10"/>
      <c r="L84" s="10"/>
      <c r="M84" s="51"/>
    </row>
    <row r="85" spans="1:13" ht="12.75" customHeight="1" x14ac:dyDescent="0.2">
      <c r="A85"/>
      <c r="B85"/>
      <c r="C85"/>
      <c r="D85"/>
      <c r="E85" s="95"/>
      <c r="F85"/>
      <c r="G85"/>
      <c r="H85" s="10"/>
      <c r="I85" s="10"/>
      <c r="J85" s="10"/>
      <c r="K85" s="10"/>
      <c r="L85" s="10"/>
      <c r="M85" s="51"/>
    </row>
    <row r="86" spans="1:13" x14ac:dyDescent="0.2">
      <c r="A86"/>
      <c r="B86"/>
      <c r="C86"/>
      <c r="D86"/>
      <c r="E86" s="95"/>
      <c r="F86"/>
      <c r="G86"/>
      <c r="H86" s="10"/>
      <c r="I86" s="10"/>
      <c r="J86" s="10"/>
      <c r="K86" s="10"/>
      <c r="L86" s="10"/>
      <c r="M86" s="51"/>
    </row>
    <row r="87" spans="1:13" x14ac:dyDescent="0.2">
      <c r="A87"/>
      <c r="B87"/>
      <c r="C87"/>
      <c r="D87"/>
      <c r="E87" s="95"/>
      <c r="F87"/>
      <c r="G87"/>
      <c r="H87" s="10"/>
      <c r="I87" s="10"/>
      <c r="J87" s="10"/>
      <c r="K87" s="10"/>
      <c r="L87" s="10"/>
      <c r="M87" s="51"/>
    </row>
    <row r="88" spans="1:13" x14ac:dyDescent="0.2">
      <c r="A88"/>
      <c r="B88"/>
      <c r="C88"/>
      <c r="D88"/>
      <c r="E88" s="95"/>
      <c r="F88"/>
      <c r="G88"/>
      <c r="H88" s="10"/>
      <c r="I88" s="10"/>
      <c r="J88" s="10"/>
      <c r="K88" s="10"/>
      <c r="L88" s="10"/>
      <c r="M88" s="51"/>
    </row>
    <row r="89" spans="1:13" x14ac:dyDescent="0.2">
      <c r="A89"/>
      <c r="B89"/>
      <c r="C89"/>
      <c r="D89"/>
      <c r="E89" s="95"/>
      <c r="F89"/>
      <c r="G89"/>
      <c r="H89" s="10"/>
      <c r="I89" s="10"/>
      <c r="J89" s="10"/>
      <c r="K89" s="10"/>
      <c r="L89" s="10"/>
      <c r="M89" s="51"/>
    </row>
    <row r="90" spans="1:13" x14ac:dyDescent="0.2">
      <c r="A90"/>
      <c r="B90"/>
      <c r="C90"/>
      <c r="D90"/>
      <c r="E90" s="95"/>
      <c r="F90"/>
      <c r="G90"/>
      <c r="H90" s="10"/>
      <c r="I90" s="10"/>
      <c r="J90" s="10"/>
      <c r="K90" s="10"/>
      <c r="L90" s="10"/>
      <c r="M90" s="51"/>
    </row>
    <row r="91" spans="1:13" x14ac:dyDescent="0.2">
      <c r="A91"/>
      <c r="B91"/>
      <c r="C91"/>
      <c r="D91"/>
      <c r="E91" s="95"/>
      <c r="F91"/>
      <c r="G91"/>
      <c r="H91" s="10"/>
      <c r="I91" s="10"/>
      <c r="J91" s="10"/>
      <c r="K91" s="10"/>
      <c r="L91" s="10"/>
      <c r="M91" s="51"/>
    </row>
    <row r="92" spans="1:13" x14ac:dyDescent="0.2">
      <c r="A92"/>
      <c r="B92"/>
      <c r="C92"/>
      <c r="D92"/>
      <c r="E92" s="95"/>
      <c r="F92"/>
      <c r="G92"/>
      <c r="H92" s="10"/>
      <c r="I92" s="10"/>
      <c r="J92" s="10"/>
      <c r="K92" s="10"/>
      <c r="L92" s="10"/>
      <c r="M92" s="51"/>
    </row>
    <row r="93" spans="1:13" x14ac:dyDescent="0.2">
      <c r="A93"/>
      <c r="B93"/>
      <c r="C93"/>
      <c r="D93"/>
      <c r="E93" s="95"/>
      <c r="F93"/>
      <c r="G93"/>
      <c r="H93" s="10"/>
      <c r="I93" s="10"/>
      <c r="J93" s="10"/>
      <c r="K93" s="10"/>
      <c r="L93" s="10"/>
      <c r="M93" s="51"/>
    </row>
    <row r="94" spans="1:13" x14ac:dyDescent="0.2">
      <c r="A94"/>
      <c r="B94"/>
      <c r="C94"/>
      <c r="D94"/>
      <c r="E94" s="95"/>
      <c r="F94"/>
      <c r="G94"/>
      <c r="H94" s="10"/>
      <c r="I94" s="10"/>
      <c r="J94" s="10"/>
      <c r="K94" s="10"/>
      <c r="L94" s="10"/>
      <c r="M94" s="51"/>
    </row>
    <row r="95" spans="1:13" x14ac:dyDescent="0.2">
      <c r="A95"/>
      <c r="B95"/>
      <c r="C95"/>
      <c r="D95"/>
      <c r="E95" s="95"/>
      <c r="F95"/>
      <c r="G95"/>
      <c r="H95" s="10"/>
      <c r="I95" s="10"/>
      <c r="J95" s="10"/>
      <c r="K95" s="10"/>
      <c r="L95" s="10"/>
      <c r="M95" s="51"/>
    </row>
    <row r="96" spans="1:13" x14ac:dyDescent="0.2">
      <c r="A96"/>
      <c r="B96"/>
      <c r="C96"/>
      <c r="D96"/>
      <c r="E96" s="95"/>
      <c r="F96"/>
      <c r="G96"/>
      <c r="H96" s="10"/>
      <c r="I96" s="10"/>
      <c r="J96" s="10"/>
      <c r="K96" s="10"/>
      <c r="L96" s="10"/>
      <c r="M96" s="51"/>
    </row>
    <row r="97" spans="1:13" x14ac:dyDescent="0.2">
      <c r="A97"/>
      <c r="B97"/>
      <c r="C97"/>
      <c r="D97"/>
      <c r="E97" s="95"/>
      <c r="F97"/>
      <c r="G97"/>
      <c r="H97" s="10"/>
      <c r="I97" s="10"/>
      <c r="J97" s="10"/>
      <c r="K97" s="10"/>
      <c r="L97" s="10"/>
      <c r="M97" s="51"/>
    </row>
    <row r="98" spans="1:13" x14ac:dyDescent="0.2">
      <c r="A98"/>
      <c r="B98"/>
      <c r="C98"/>
      <c r="D98"/>
      <c r="E98" s="95"/>
      <c r="F98"/>
      <c r="G98"/>
      <c r="H98" s="10"/>
      <c r="I98" s="10"/>
      <c r="J98" s="10"/>
      <c r="K98" s="10"/>
      <c r="L98" s="10"/>
      <c r="M98" s="51"/>
    </row>
    <row r="99" spans="1:13" x14ac:dyDescent="0.2">
      <c r="A99"/>
      <c r="B99"/>
      <c r="C99"/>
      <c r="D99"/>
      <c r="E99" s="95"/>
      <c r="F99"/>
      <c r="G99"/>
      <c r="H99" s="10"/>
      <c r="I99" s="10"/>
      <c r="J99" s="10"/>
      <c r="K99" s="10"/>
      <c r="L99" s="10"/>
      <c r="M99" s="51"/>
    </row>
    <row r="100" spans="1:13" x14ac:dyDescent="0.2">
      <c r="A100"/>
      <c r="B100"/>
      <c r="C100"/>
      <c r="D100"/>
      <c r="E100" s="95"/>
      <c r="F100"/>
      <c r="G100"/>
      <c r="H100" s="10"/>
      <c r="I100" s="10"/>
      <c r="J100" s="10"/>
      <c r="K100" s="10"/>
      <c r="L100" s="10"/>
      <c r="M100" s="51"/>
    </row>
    <row r="101" spans="1:13" x14ac:dyDescent="0.2">
      <c r="A101"/>
      <c r="B101"/>
      <c r="C101"/>
      <c r="D101"/>
      <c r="E101" s="95"/>
      <c r="F101"/>
      <c r="G101"/>
      <c r="H101" s="10"/>
      <c r="I101" s="10"/>
      <c r="J101" s="10"/>
      <c r="K101" s="10"/>
      <c r="L101" s="10"/>
      <c r="M101" s="51"/>
    </row>
    <row r="102" spans="1:13" x14ac:dyDescent="0.2">
      <c r="A102"/>
      <c r="B102"/>
      <c r="C102"/>
      <c r="D102"/>
      <c r="E102" s="95"/>
      <c r="F102"/>
      <c r="G102"/>
      <c r="H102" s="10"/>
      <c r="I102" s="10"/>
      <c r="J102" s="10"/>
      <c r="K102" s="10"/>
      <c r="L102" s="10"/>
      <c r="M102" s="51"/>
    </row>
    <row r="103" spans="1:13" x14ac:dyDescent="0.2">
      <c r="A103"/>
      <c r="B103"/>
      <c r="C103"/>
      <c r="D103"/>
      <c r="E103" s="95"/>
      <c r="F103"/>
      <c r="G103"/>
      <c r="H103" s="10"/>
      <c r="I103" s="10"/>
      <c r="J103" s="10"/>
      <c r="K103" s="10"/>
      <c r="L103" s="10"/>
      <c r="M103" s="51"/>
    </row>
    <row r="104" spans="1:13" x14ac:dyDescent="0.2">
      <c r="A104"/>
      <c r="B104"/>
      <c r="C104"/>
      <c r="D104"/>
      <c r="E104" s="95"/>
      <c r="F104"/>
      <c r="G104"/>
      <c r="H104" s="10"/>
      <c r="I104" s="10"/>
      <c r="J104" s="10"/>
      <c r="K104" s="10"/>
      <c r="L104" s="10"/>
      <c r="M104" s="51"/>
    </row>
    <row r="105" spans="1:13" x14ac:dyDescent="0.2">
      <c r="A105"/>
      <c r="B105"/>
      <c r="C105"/>
      <c r="D105"/>
      <c r="E105" s="95"/>
      <c r="F105"/>
      <c r="G105"/>
      <c r="H105" s="10"/>
      <c r="I105" s="10"/>
      <c r="J105" s="10"/>
      <c r="K105" s="10"/>
      <c r="L105" s="10"/>
      <c r="M105" s="51"/>
    </row>
    <row r="106" spans="1:13" x14ac:dyDescent="0.2">
      <c r="A106"/>
      <c r="B106"/>
      <c r="C106"/>
      <c r="D106"/>
      <c r="E106" s="95"/>
      <c r="F106"/>
      <c r="G106"/>
      <c r="H106" s="10"/>
      <c r="I106" s="10"/>
      <c r="J106" s="10"/>
      <c r="K106" s="10"/>
      <c r="L106" s="10"/>
      <c r="M106" s="51"/>
    </row>
    <row r="107" spans="1:13" x14ac:dyDescent="0.2">
      <c r="A107"/>
      <c r="B107"/>
      <c r="C107"/>
      <c r="D107"/>
      <c r="E107" s="95"/>
      <c r="F107"/>
      <c r="G107"/>
      <c r="H107" s="10"/>
      <c r="I107" s="10"/>
      <c r="J107" s="10"/>
      <c r="K107" s="10"/>
      <c r="L107" s="10"/>
      <c r="M107" s="51"/>
    </row>
    <row r="108" spans="1:13" x14ac:dyDescent="0.2">
      <c r="A108"/>
      <c r="B108"/>
      <c r="C108"/>
      <c r="D108"/>
      <c r="E108" s="95"/>
      <c r="F108"/>
      <c r="G108"/>
      <c r="H108" s="10"/>
      <c r="I108" s="10"/>
      <c r="J108" s="10"/>
      <c r="K108" s="10"/>
      <c r="L108" s="10"/>
      <c r="M108" s="51"/>
    </row>
    <row r="109" spans="1:13" x14ac:dyDescent="0.2">
      <c r="A109"/>
      <c r="B109"/>
      <c r="C109"/>
      <c r="D109"/>
      <c r="E109" s="95"/>
      <c r="F109"/>
      <c r="G109"/>
      <c r="H109" s="10"/>
      <c r="I109" s="10"/>
      <c r="J109" s="10"/>
      <c r="K109" s="10"/>
      <c r="L109" s="10"/>
      <c r="M109" s="51"/>
    </row>
    <row r="110" spans="1:13" x14ac:dyDescent="0.2">
      <c r="A110"/>
      <c r="B110"/>
      <c r="C110"/>
      <c r="D110"/>
      <c r="E110" s="95"/>
      <c r="F110"/>
      <c r="G110"/>
      <c r="H110" s="10"/>
      <c r="I110" s="10"/>
      <c r="J110" s="10"/>
      <c r="K110" s="10"/>
      <c r="L110" s="10"/>
      <c r="M110" s="51"/>
    </row>
    <row r="111" spans="1:13" x14ac:dyDescent="0.2">
      <c r="A111"/>
      <c r="B111"/>
      <c r="C111"/>
      <c r="D111"/>
      <c r="E111" s="95"/>
      <c r="F111"/>
      <c r="G111"/>
      <c r="H111" s="10"/>
      <c r="I111" s="10"/>
      <c r="J111" s="10"/>
      <c r="K111" s="10"/>
      <c r="L111" s="10"/>
      <c r="M111" s="51"/>
    </row>
    <row r="112" spans="1:13" x14ac:dyDescent="0.2">
      <c r="A112"/>
      <c r="B112"/>
      <c r="C112"/>
      <c r="D112"/>
      <c r="E112" s="95"/>
      <c r="F112"/>
      <c r="G112"/>
      <c r="H112" s="10"/>
      <c r="I112" s="10"/>
      <c r="J112" s="10"/>
      <c r="K112" s="10"/>
      <c r="L112" s="10"/>
      <c r="M112" s="51"/>
    </row>
    <row r="113" spans="1:13" x14ac:dyDescent="0.2">
      <c r="A113"/>
      <c r="B113"/>
      <c r="C113"/>
      <c r="D113"/>
      <c r="E113" s="95"/>
      <c r="F113"/>
      <c r="G113"/>
      <c r="H113" s="10"/>
      <c r="I113" s="10"/>
      <c r="J113" s="10"/>
      <c r="K113" s="10"/>
      <c r="L113" s="10"/>
      <c r="M113" s="51"/>
    </row>
    <row r="114" spans="1:13" x14ac:dyDescent="0.2">
      <c r="A114"/>
      <c r="B114"/>
      <c r="C114"/>
      <c r="D114"/>
      <c r="E114" s="95"/>
      <c r="F114"/>
      <c r="G114"/>
      <c r="H114" s="10"/>
      <c r="I114" s="10"/>
      <c r="J114" s="10"/>
      <c r="K114" s="10"/>
      <c r="L114" s="10"/>
      <c r="M114" s="51"/>
    </row>
    <row r="115" spans="1:13" x14ac:dyDescent="0.2">
      <c r="A115"/>
      <c r="B115"/>
      <c r="C115"/>
      <c r="D115"/>
      <c r="E115" s="95"/>
      <c r="F115"/>
      <c r="G115"/>
      <c r="H115" s="10"/>
      <c r="I115" s="10"/>
      <c r="J115" s="10"/>
      <c r="K115" s="10"/>
      <c r="L115" s="10"/>
      <c r="M115" s="51"/>
    </row>
    <row r="116" spans="1:13" x14ac:dyDescent="0.2">
      <c r="A116"/>
      <c r="B116"/>
      <c r="C116"/>
      <c r="D116"/>
      <c r="E116" s="95"/>
      <c r="F116"/>
      <c r="G116"/>
      <c r="H116" s="10"/>
      <c r="I116" s="10"/>
      <c r="J116" s="10"/>
      <c r="K116" s="10"/>
      <c r="L116" s="10"/>
      <c r="M116" s="51"/>
    </row>
    <row r="117" spans="1:13" x14ac:dyDescent="0.2">
      <c r="A117"/>
      <c r="B117"/>
      <c r="C117"/>
      <c r="D117"/>
      <c r="E117" s="95"/>
      <c r="F117"/>
      <c r="G117"/>
      <c r="H117" s="10"/>
      <c r="I117" s="10"/>
      <c r="J117" s="10"/>
      <c r="K117" s="10"/>
      <c r="L117" s="10"/>
      <c r="M117" s="51"/>
    </row>
    <row r="118" spans="1:13" x14ac:dyDescent="0.2">
      <c r="A118"/>
      <c r="B118"/>
      <c r="C118"/>
      <c r="D118"/>
      <c r="E118" s="95"/>
      <c r="F118"/>
      <c r="G118"/>
      <c r="H118" s="10"/>
      <c r="I118" s="10"/>
      <c r="J118" s="10"/>
      <c r="K118" s="10"/>
      <c r="L118" s="10"/>
      <c r="M118" s="51"/>
    </row>
    <row r="119" spans="1:13" x14ac:dyDescent="0.2">
      <c r="A119"/>
      <c r="B119"/>
      <c r="C119"/>
      <c r="D119"/>
      <c r="E119" s="95"/>
      <c r="F119"/>
      <c r="G119"/>
      <c r="H119" s="10"/>
      <c r="I119" s="10"/>
      <c r="J119" s="10"/>
      <c r="K119" s="10"/>
      <c r="L119" s="10"/>
      <c r="M119" s="51"/>
    </row>
    <row r="120" spans="1:13" x14ac:dyDescent="0.2">
      <c r="A120"/>
      <c r="B120"/>
      <c r="C120"/>
      <c r="D120"/>
      <c r="E120" s="95"/>
      <c r="F120"/>
      <c r="G120"/>
      <c r="H120" s="10"/>
      <c r="I120" s="10"/>
      <c r="J120" s="10"/>
      <c r="K120" s="10"/>
      <c r="L120" s="10"/>
      <c r="M120" s="51"/>
    </row>
    <row r="121" spans="1:13" x14ac:dyDescent="0.2">
      <c r="A121"/>
      <c r="B121"/>
      <c r="C121"/>
      <c r="D121"/>
      <c r="E121" s="95"/>
      <c r="F121"/>
      <c r="G121"/>
      <c r="H121" s="10"/>
      <c r="I121" s="10"/>
      <c r="J121" s="10"/>
      <c r="K121" s="10"/>
      <c r="L121" s="10"/>
      <c r="M121" s="51"/>
    </row>
    <row r="122" spans="1:13" x14ac:dyDescent="0.2">
      <c r="A122"/>
      <c r="B122"/>
      <c r="C122"/>
      <c r="D122"/>
      <c r="E122" s="95"/>
      <c r="F122"/>
      <c r="G122"/>
      <c r="H122" s="10"/>
      <c r="I122" s="10"/>
      <c r="J122" s="10"/>
      <c r="K122" s="10"/>
      <c r="L122" s="10"/>
      <c r="M122" s="51"/>
    </row>
    <row r="123" spans="1:13" x14ac:dyDescent="0.2">
      <c r="A123"/>
      <c r="B123"/>
      <c r="C123"/>
      <c r="D123"/>
      <c r="E123" s="95"/>
      <c r="F123"/>
      <c r="G123"/>
      <c r="H123" s="10"/>
      <c r="I123" s="10"/>
      <c r="J123" s="10"/>
      <c r="K123" s="10"/>
      <c r="L123" s="10"/>
      <c r="M123" s="51"/>
    </row>
    <row r="124" spans="1:13" x14ac:dyDescent="0.2">
      <c r="A124"/>
      <c r="B124"/>
      <c r="C124"/>
      <c r="D124"/>
      <c r="E124" s="95"/>
      <c r="F124"/>
      <c r="G124"/>
      <c r="H124" s="10"/>
      <c r="I124" s="10"/>
      <c r="J124" s="10"/>
      <c r="K124" s="10"/>
      <c r="L124" s="10"/>
      <c r="M124" s="51"/>
    </row>
    <row r="125" spans="1:13" x14ac:dyDescent="0.2">
      <c r="A125"/>
      <c r="B125"/>
      <c r="C125"/>
      <c r="D125"/>
      <c r="E125" s="95"/>
      <c r="F125"/>
      <c r="G125"/>
      <c r="H125" s="10"/>
      <c r="I125" s="10"/>
      <c r="J125" s="10"/>
      <c r="K125" s="10"/>
      <c r="L125" s="10"/>
      <c r="M125" s="51"/>
    </row>
    <row r="126" spans="1:13" x14ac:dyDescent="0.2">
      <c r="A126"/>
      <c r="B126"/>
      <c r="C126"/>
      <c r="D126"/>
      <c r="E126" s="95"/>
      <c r="F126"/>
      <c r="G126"/>
      <c r="H126" s="10"/>
      <c r="I126" s="10"/>
      <c r="J126" s="10"/>
      <c r="K126" s="10"/>
      <c r="L126" s="10"/>
      <c r="M126" s="51"/>
    </row>
    <row r="127" spans="1:13" x14ac:dyDescent="0.2">
      <c r="A127"/>
      <c r="B127"/>
      <c r="C127"/>
      <c r="D127"/>
      <c r="E127" s="95"/>
      <c r="F127"/>
      <c r="G127"/>
      <c r="H127" s="10"/>
      <c r="I127" s="10"/>
      <c r="J127" s="10"/>
      <c r="K127" s="10"/>
      <c r="L127" s="10"/>
      <c r="M127" s="51"/>
    </row>
    <row r="128" spans="1:13" x14ac:dyDescent="0.2">
      <c r="A128"/>
      <c r="B128"/>
      <c r="C128"/>
      <c r="D128"/>
      <c r="E128" s="95"/>
      <c r="F128"/>
      <c r="G128"/>
      <c r="H128" s="10"/>
      <c r="I128" s="10"/>
      <c r="J128" s="10"/>
      <c r="K128" s="10"/>
      <c r="L128" s="10"/>
      <c r="M128" s="51"/>
    </row>
    <row r="129" spans="1:13" x14ac:dyDescent="0.2">
      <c r="A129"/>
      <c r="B129"/>
      <c r="C129"/>
      <c r="D129"/>
      <c r="E129" s="95"/>
      <c r="F129"/>
      <c r="G129"/>
      <c r="H129" s="10"/>
      <c r="I129" s="10"/>
      <c r="J129" s="10"/>
      <c r="K129" s="10"/>
      <c r="L129" s="10"/>
      <c r="M129" s="51"/>
    </row>
    <row r="130" spans="1:13" x14ac:dyDescent="0.2">
      <c r="A130"/>
      <c r="B130"/>
      <c r="C130"/>
      <c r="D130"/>
      <c r="E130" s="95"/>
      <c r="F130"/>
      <c r="G130"/>
      <c r="H130" s="10"/>
      <c r="I130" s="10"/>
      <c r="J130" s="10"/>
      <c r="K130" s="10"/>
      <c r="L130" s="10"/>
      <c r="M130" s="51"/>
    </row>
    <row r="131" spans="1:13" x14ac:dyDescent="0.2">
      <c r="A131"/>
      <c r="B131"/>
      <c r="C131"/>
      <c r="D131"/>
      <c r="E131" s="95"/>
      <c r="F131"/>
      <c r="G131"/>
      <c r="H131" s="10"/>
      <c r="I131" s="10"/>
      <c r="J131" s="10"/>
      <c r="K131" s="10"/>
      <c r="L131" s="10"/>
      <c r="M131" s="51"/>
    </row>
    <row r="132" spans="1:13" x14ac:dyDescent="0.2">
      <c r="A132"/>
      <c r="B132"/>
      <c r="C132"/>
      <c r="D132"/>
      <c r="E132" s="95"/>
      <c r="F132"/>
      <c r="G132"/>
      <c r="H132" s="10"/>
      <c r="I132" s="10"/>
      <c r="J132" s="10"/>
      <c r="K132" s="10"/>
      <c r="L132" s="10"/>
      <c r="M132" s="51"/>
    </row>
    <row r="133" spans="1:13" x14ac:dyDescent="0.2">
      <c r="A133"/>
      <c r="B133"/>
      <c r="C133"/>
      <c r="D133"/>
      <c r="E133" s="95"/>
      <c r="F133"/>
      <c r="G133"/>
      <c r="H133" s="10"/>
      <c r="I133" s="10"/>
      <c r="J133" s="10"/>
      <c r="K133" s="10"/>
      <c r="L133" s="10"/>
      <c r="M133" s="51"/>
    </row>
    <row r="134" spans="1:13" x14ac:dyDescent="0.2">
      <c r="A134"/>
      <c r="B134"/>
      <c r="C134"/>
      <c r="D134"/>
      <c r="E134" s="95"/>
      <c r="F134"/>
      <c r="G134"/>
      <c r="H134" s="10"/>
      <c r="I134" s="10"/>
      <c r="J134" s="10"/>
      <c r="K134" s="10"/>
      <c r="L134" s="10"/>
      <c r="M134" s="51"/>
    </row>
    <row r="135" spans="1:13" x14ac:dyDescent="0.2">
      <c r="A135"/>
      <c r="B135"/>
      <c r="C135"/>
      <c r="D135"/>
      <c r="E135" s="95"/>
      <c r="F135"/>
      <c r="G135"/>
      <c r="H135" s="10"/>
      <c r="I135" s="10"/>
      <c r="J135" s="10"/>
      <c r="K135" s="10"/>
      <c r="L135" s="10"/>
      <c r="M135" s="51"/>
    </row>
    <row r="136" spans="1:13" x14ac:dyDescent="0.2">
      <c r="A136"/>
      <c r="B136"/>
      <c r="C136"/>
      <c r="D136"/>
      <c r="E136" s="95"/>
      <c r="F136"/>
      <c r="G136"/>
      <c r="H136" s="10"/>
      <c r="I136" s="10"/>
      <c r="J136" s="10"/>
      <c r="K136" s="10"/>
      <c r="L136" s="10"/>
      <c r="M136" s="51"/>
    </row>
    <row r="137" spans="1:13" x14ac:dyDescent="0.2">
      <c r="A137"/>
      <c r="B137"/>
      <c r="C137"/>
      <c r="D137"/>
      <c r="E137" s="95"/>
      <c r="F137"/>
      <c r="G137"/>
      <c r="H137" s="10"/>
      <c r="I137" s="10"/>
      <c r="J137" s="10"/>
      <c r="K137" s="10"/>
      <c r="L137" s="10"/>
      <c r="M137" s="51"/>
    </row>
    <row r="138" spans="1:13" x14ac:dyDescent="0.2">
      <c r="A138"/>
      <c r="B138"/>
      <c r="C138"/>
      <c r="D138"/>
      <c r="E138" s="95"/>
      <c r="F138"/>
      <c r="G138"/>
      <c r="H138" s="10"/>
      <c r="I138" s="10"/>
      <c r="J138" s="10"/>
      <c r="K138" s="10"/>
      <c r="L138" s="10"/>
      <c r="M138" s="51"/>
    </row>
    <row r="139" spans="1:13" x14ac:dyDescent="0.2">
      <c r="A139"/>
      <c r="B139"/>
      <c r="C139"/>
      <c r="D139"/>
      <c r="E139" s="95"/>
      <c r="F139"/>
      <c r="G139"/>
      <c r="H139" s="10"/>
      <c r="I139" s="10"/>
      <c r="J139" s="10"/>
      <c r="K139" s="10"/>
      <c r="L139" s="10"/>
      <c r="M139" s="51"/>
    </row>
    <row r="140" spans="1:13" x14ac:dyDescent="0.2">
      <c r="A140"/>
      <c r="B140"/>
      <c r="C140"/>
      <c r="D140"/>
      <c r="E140" s="95"/>
      <c r="F140"/>
      <c r="G140"/>
      <c r="H140" s="10"/>
      <c r="I140" s="10"/>
      <c r="J140" s="10"/>
      <c r="K140" s="10"/>
      <c r="L140" s="10"/>
      <c r="M140" s="51"/>
    </row>
    <row r="141" spans="1:13" x14ac:dyDescent="0.2">
      <c r="A141"/>
      <c r="B141"/>
      <c r="C141"/>
      <c r="D141"/>
      <c r="E141" s="95"/>
      <c r="F141"/>
      <c r="G141"/>
      <c r="H141" s="10"/>
      <c r="I141" s="10"/>
      <c r="J141" s="10"/>
      <c r="K141" s="10"/>
      <c r="L141" s="10"/>
      <c r="M141" s="51"/>
    </row>
    <row r="142" spans="1:13" x14ac:dyDescent="0.2">
      <c r="A142"/>
      <c r="B142"/>
      <c r="C142"/>
      <c r="D142"/>
      <c r="E142" s="95"/>
      <c r="F142"/>
      <c r="G142"/>
      <c r="H142" s="10"/>
      <c r="I142" s="10"/>
      <c r="J142" s="10"/>
      <c r="K142" s="10"/>
      <c r="L142" s="10"/>
      <c r="M142" s="51"/>
    </row>
    <row r="143" spans="1:13" x14ac:dyDescent="0.2">
      <c r="A143"/>
      <c r="B143"/>
      <c r="C143"/>
      <c r="D143"/>
      <c r="E143" s="95"/>
      <c r="F143"/>
      <c r="G143"/>
      <c r="H143" s="10"/>
      <c r="I143" s="10"/>
      <c r="J143" s="10"/>
      <c r="K143" s="10"/>
      <c r="L143" s="10"/>
      <c r="M143" s="51"/>
    </row>
    <row r="144" spans="1:13" x14ac:dyDescent="0.2">
      <c r="A144"/>
      <c r="B144"/>
      <c r="C144"/>
      <c r="D144"/>
      <c r="E144" s="95"/>
      <c r="F144"/>
      <c r="G144"/>
      <c r="H144" s="10"/>
      <c r="I144" s="10"/>
      <c r="J144" s="10"/>
      <c r="K144" s="10"/>
      <c r="L144" s="10"/>
      <c r="M144" s="51"/>
    </row>
    <row r="145" spans="1:13" x14ac:dyDescent="0.2">
      <c r="A145"/>
      <c r="B145"/>
      <c r="C145"/>
      <c r="D145"/>
      <c r="E145" s="95"/>
      <c r="F145"/>
      <c r="G145"/>
      <c r="H145" s="10"/>
      <c r="I145" s="10"/>
      <c r="J145" s="10"/>
      <c r="K145" s="10"/>
      <c r="L145" s="10"/>
      <c r="M145" s="51"/>
    </row>
    <row r="146" spans="1:13" x14ac:dyDescent="0.2">
      <c r="A146"/>
      <c r="B146"/>
      <c r="C146"/>
      <c r="D146"/>
      <c r="E146" s="95"/>
      <c r="F146"/>
      <c r="G146"/>
      <c r="H146" s="10"/>
      <c r="I146" s="10"/>
      <c r="J146" s="10"/>
      <c r="K146" s="10"/>
      <c r="L146" s="10"/>
      <c r="M146" s="51"/>
    </row>
    <row r="147" spans="1:13" x14ac:dyDescent="0.2">
      <c r="A147"/>
      <c r="B147"/>
      <c r="C147"/>
      <c r="D147"/>
      <c r="E147" s="95"/>
      <c r="F147"/>
      <c r="G147"/>
      <c r="H147" s="10"/>
      <c r="I147" s="10"/>
      <c r="J147" s="10"/>
      <c r="K147" s="10"/>
      <c r="L147" s="10"/>
      <c r="M147" s="51"/>
    </row>
    <row r="148" spans="1:13" x14ac:dyDescent="0.2">
      <c r="A148"/>
      <c r="B148"/>
      <c r="C148"/>
      <c r="D148"/>
      <c r="E148" s="95"/>
      <c r="F148"/>
      <c r="G148"/>
      <c r="H148" s="10"/>
      <c r="I148" s="10"/>
      <c r="J148" s="10"/>
      <c r="K148" s="10"/>
      <c r="L148" s="10"/>
      <c r="M148" s="51"/>
    </row>
    <row r="149" spans="1:13" x14ac:dyDescent="0.2">
      <c r="A149"/>
      <c r="B149"/>
      <c r="C149"/>
      <c r="D149"/>
      <c r="E149" s="95"/>
      <c r="F149"/>
      <c r="G149"/>
      <c r="H149" s="10"/>
      <c r="I149" s="10"/>
      <c r="J149" s="10"/>
      <c r="K149" s="10"/>
      <c r="L149" s="10"/>
      <c r="M149" s="51"/>
    </row>
    <row r="150" spans="1:13" x14ac:dyDescent="0.2">
      <c r="A150"/>
      <c r="B150"/>
      <c r="C150"/>
      <c r="D150"/>
      <c r="E150" s="95"/>
      <c r="F150"/>
      <c r="G150"/>
      <c r="H150" s="10"/>
      <c r="I150" s="10"/>
      <c r="J150" s="10"/>
      <c r="K150" s="10"/>
      <c r="L150" s="10"/>
      <c r="M150" s="51"/>
    </row>
    <row r="151" spans="1:13" x14ac:dyDescent="0.2">
      <c r="A151"/>
      <c r="B151"/>
      <c r="C151"/>
      <c r="D151"/>
      <c r="E151" s="95"/>
      <c r="F151"/>
      <c r="G151"/>
      <c r="H151" s="10"/>
      <c r="I151" s="10"/>
      <c r="J151" s="10"/>
      <c r="K151" s="10"/>
      <c r="L151" s="10"/>
      <c r="M151" s="51"/>
    </row>
    <row r="152" spans="1:13" x14ac:dyDescent="0.2">
      <c r="A152"/>
      <c r="B152"/>
      <c r="C152"/>
      <c r="D152"/>
      <c r="E152" s="95"/>
      <c r="F152"/>
      <c r="G152"/>
      <c r="H152" s="10"/>
      <c r="I152" s="10"/>
      <c r="J152" s="10"/>
      <c r="K152" s="10"/>
      <c r="L152" s="10"/>
      <c r="M152" s="51"/>
    </row>
    <row r="153" spans="1:13" x14ac:dyDescent="0.2">
      <c r="A153"/>
      <c r="B153"/>
      <c r="C153"/>
      <c r="D153"/>
      <c r="E153" s="95"/>
      <c r="F153"/>
      <c r="G153"/>
      <c r="H153" s="10"/>
      <c r="I153" s="10"/>
      <c r="J153" s="10"/>
      <c r="K153" s="10"/>
      <c r="L153" s="10"/>
      <c r="M153" s="51"/>
    </row>
    <row r="154" spans="1:13" x14ac:dyDescent="0.2">
      <c r="A154"/>
      <c r="B154"/>
      <c r="C154"/>
      <c r="D154"/>
      <c r="E154" s="95"/>
      <c r="F154"/>
      <c r="G154"/>
      <c r="H154" s="10"/>
      <c r="I154" s="10"/>
      <c r="J154" s="10"/>
      <c r="K154" s="10"/>
      <c r="L154" s="10"/>
      <c r="M154" s="51"/>
    </row>
    <row r="155" spans="1:13" x14ac:dyDescent="0.2">
      <c r="A155"/>
      <c r="B155"/>
      <c r="C155"/>
      <c r="D155"/>
      <c r="E155" s="95"/>
      <c r="F155"/>
      <c r="G155"/>
      <c r="H155" s="10"/>
      <c r="I155" s="10"/>
      <c r="J155" s="10"/>
      <c r="K155" s="10"/>
      <c r="L155" s="10"/>
      <c r="M155" s="51"/>
    </row>
    <row r="156" spans="1:13" x14ac:dyDescent="0.2">
      <c r="A156"/>
      <c r="B156"/>
      <c r="C156"/>
      <c r="D156"/>
      <c r="E156" s="95"/>
      <c r="F156"/>
      <c r="G156"/>
      <c r="H156" s="10"/>
      <c r="I156" s="10"/>
      <c r="J156" s="10"/>
      <c r="K156" s="10"/>
      <c r="L156" s="10"/>
      <c r="M156" s="51"/>
    </row>
    <row r="157" spans="1:13" x14ac:dyDescent="0.2">
      <c r="A157"/>
      <c r="B157"/>
      <c r="C157"/>
      <c r="D157"/>
      <c r="E157" s="95"/>
      <c r="F157"/>
      <c r="G157"/>
      <c r="H157" s="10"/>
      <c r="I157" s="10"/>
      <c r="J157" s="10"/>
      <c r="K157" s="10"/>
      <c r="L157" s="10"/>
      <c r="M157" s="51"/>
    </row>
    <row r="158" spans="1:13" x14ac:dyDescent="0.2">
      <c r="A158"/>
      <c r="B158"/>
      <c r="C158"/>
      <c r="D158"/>
      <c r="E158" s="95"/>
      <c r="F158"/>
      <c r="G158"/>
      <c r="H158" s="10"/>
      <c r="I158" s="10"/>
      <c r="J158" s="10"/>
      <c r="K158" s="10"/>
      <c r="L158" s="10"/>
      <c r="M158" s="51"/>
    </row>
    <row r="159" spans="1:13" x14ac:dyDescent="0.2">
      <c r="A159"/>
      <c r="B159"/>
      <c r="C159"/>
      <c r="D159"/>
      <c r="E159" s="95"/>
      <c r="F159"/>
      <c r="G159"/>
      <c r="H159" s="10"/>
      <c r="I159" s="10"/>
      <c r="J159" s="10"/>
      <c r="K159" s="10"/>
      <c r="L159" s="10"/>
      <c r="M159" s="51"/>
    </row>
    <row r="160" spans="1:13" x14ac:dyDescent="0.2">
      <c r="A160"/>
      <c r="B160"/>
      <c r="C160"/>
      <c r="D160"/>
      <c r="E160" s="95"/>
      <c r="F160"/>
      <c r="G160"/>
      <c r="H160" s="10"/>
      <c r="I160" s="10"/>
      <c r="J160" s="10"/>
      <c r="K160" s="10"/>
      <c r="L160" s="10"/>
      <c r="M160" s="51"/>
    </row>
    <row r="161" spans="1:13" x14ac:dyDescent="0.2">
      <c r="A161"/>
      <c r="B161"/>
      <c r="C161"/>
      <c r="D161"/>
      <c r="E161" s="95"/>
      <c r="F161"/>
      <c r="G161"/>
      <c r="H161" s="10"/>
      <c r="I161" s="10"/>
      <c r="J161" s="10"/>
      <c r="K161" s="10"/>
      <c r="L161" s="10"/>
      <c r="M161" s="51"/>
    </row>
    <row r="162" spans="1:13" x14ac:dyDescent="0.2">
      <c r="A162"/>
      <c r="B162"/>
      <c r="C162"/>
      <c r="D162"/>
      <c r="E162" s="95"/>
      <c r="F162"/>
      <c r="G162"/>
      <c r="H162" s="10"/>
      <c r="I162" s="10"/>
      <c r="J162" s="10"/>
      <c r="K162" s="10"/>
      <c r="L162" s="10"/>
      <c r="M162" s="51"/>
    </row>
    <row r="163" spans="1:13" x14ac:dyDescent="0.2">
      <c r="A163"/>
      <c r="B163"/>
      <c r="C163"/>
      <c r="D163"/>
      <c r="E163" s="95"/>
      <c r="F163"/>
      <c r="G163"/>
      <c r="H163" s="10"/>
      <c r="I163" s="10"/>
      <c r="J163" s="10"/>
      <c r="K163" s="10"/>
      <c r="L163" s="10"/>
      <c r="M163" s="51"/>
    </row>
    <row r="164" spans="1:13" x14ac:dyDescent="0.2">
      <c r="A164"/>
      <c r="B164"/>
      <c r="C164"/>
      <c r="D164"/>
      <c r="E164" s="95"/>
      <c r="F164"/>
      <c r="G164"/>
      <c r="H164" s="10"/>
      <c r="I164" s="10"/>
      <c r="J164" s="10"/>
      <c r="K164" s="10"/>
      <c r="L164" s="10"/>
      <c r="M164" s="51"/>
    </row>
    <row r="165" spans="1:13" x14ac:dyDescent="0.2">
      <c r="A165"/>
      <c r="B165"/>
      <c r="C165"/>
      <c r="D165"/>
      <c r="E165" s="95"/>
      <c r="F165"/>
      <c r="G165"/>
      <c r="H165" s="10"/>
      <c r="I165" s="10"/>
      <c r="J165" s="10"/>
      <c r="K165" s="10"/>
      <c r="L165" s="10"/>
      <c r="M165" s="51"/>
    </row>
    <row r="166" spans="1:13" x14ac:dyDescent="0.2">
      <c r="A166"/>
      <c r="B166"/>
      <c r="C166"/>
      <c r="D166"/>
      <c r="E166" s="95"/>
      <c r="F166"/>
      <c r="G166"/>
      <c r="H166" s="10"/>
      <c r="I166" s="10"/>
      <c r="J166" s="10"/>
      <c r="K166" s="10"/>
      <c r="L166" s="10"/>
      <c r="M166" s="51"/>
    </row>
    <row r="167" spans="1:13" x14ac:dyDescent="0.2">
      <c r="A167"/>
      <c r="B167"/>
      <c r="C167"/>
      <c r="D167"/>
      <c r="E167" s="95"/>
      <c r="F167"/>
      <c r="G167"/>
      <c r="H167" s="10"/>
      <c r="I167" s="10"/>
      <c r="J167" s="10"/>
      <c r="K167" s="10"/>
      <c r="L167" s="10"/>
      <c r="M167" s="51"/>
    </row>
    <row r="168" spans="1:13" x14ac:dyDescent="0.2">
      <c r="A168"/>
      <c r="B168"/>
      <c r="C168"/>
      <c r="D168"/>
      <c r="E168" s="95"/>
      <c r="F168"/>
      <c r="G168"/>
      <c r="H168" s="10"/>
      <c r="I168" s="10"/>
      <c r="J168" s="10"/>
      <c r="K168" s="10"/>
      <c r="L168" s="10"/>
      <c r="M168" s="51"/>
    </row>
    <row r="169" spans="1:13" x14ac:dyDescent="0.2">
      <c r="A169"/>
      <c r="B169"/>
      <c r="C169"/>
      <c r="D169"/>
      <c r="E169" s="95"/>
      <c r="F169"/>
      <c r="G169"/>
      <c r="H169" s="10"/>
      <c r="I169" s="10"/>
      <c r="J169" s="10"/>
      <c r="K169" s="10"/>
      <c r="L169" s="10"/>
      <c r="M169" s="51"/>
    </row>
    <row r="170" spans="1:13" x14ac:dyDescent="0.2">
      <c r="A170"/>
      <c r="B170"/>
      <c r="C170"/>
      <c r="D170"/>
      <c r="E170" s="95"/>
      <c r="F170"/>
      <c r="G170"/>
      <c r="H170" s="10"/>
      <c r="I170" s="10"/>
      <c r="J170" s="10"/>
      <c r="K170" s="10"/>
      <c r="L170" s="10"/>
      <c r="M170" s="51"/>
    </row>
    <row r="171" spans="1:13" x14ac:dyDescent="0.2">
      <c r="A171"/>
      <c r="B171"/>
      <c r="C171"/>
      <c r="D171"/>
      <c r="E171" s="95"/>
      <c r="F171"/>
      <c r="G171"/>
      <c r="H171" s="10"/>
      <c r="I171" s="10"/>
      <c r="J171" s="10"/>
      <c r="K171" s="10"/>
      <c r="L171" s="10"/>
      <c r="M171" s="51"/>
    </row>
    <row r="172" spans="1:13" x14ac:dyDescent="0.2">
      <c r="A172"/>
      <c r="B172"/>
      <c r="C172"/>
      <c r="D172"/>
      <c r="E172" s="95"/>
      <c r="F172"/>
      <c r="G172"/>
      <c r="H172" s="10"/>
      <c r="I172" s="10"/>
      <c r="J172" s="10"/>
      <c r="K172" s="10"/>
      <c r="L172" s="10"/>
      <c r="M172" s="51"/>
    </row>
    <row r="173" spans="1:13" x14ac:dyDescent="0.2">
      <c r="A173"/>
      <c r="B173"/>
      <c r="C173"/>
      <c r="D173"/>
      <c r="E173" s="95"/>
      <c r="F173"/>
      <c r="G173"/>
      <c r="H173" s="10"/>
      <c r="I173" s="10"/>
      <c r="J173" s="10"/>
      <c r="K173" s="10"/>
      <c r="L173" s="10"/>
      <c r="M173" s="51"/>
    </row>
    <row r="174" spans="1:13" x14ac:dyDescent="0.2">
      <c r="A174"/>
      <c r="B174"/>
      <c r="C174"/>
      <c r="D174"/>
      <c r="E174" s="95"/>
      <c r="F174"/>
      <c r="G174"/>
      <c r="H174" s="10"/>
      <c r="I174" s="10"/>
      <c r="J174" s="10"/>
      <c r="K174" s="10"/>
      <c r="L174" s="10"/>
      <c r="M174" s="51"/>
    </row>
    <row r="175" spans="1:13" x14ac:dyDescent="0.2">
      <c r="A175"/>
      <c r="B175"/>
      <c r="C175"/>
      <c r="D175"/>
      <c r="E175" s="95"/>
      <c r="F175"/>
      <c r="G175"/>
      <c r="H175" s="10"/>
      <c r="I175" s="10"/>
      <c r="J175" s="10"/>
      <c r="K175" s="10"/>
      <c r="L175" s="10"/>
      <c r="M175" s="51"/>
    </row>
    <row r="176" spans="1:13" x14ac:dyDescent="0.2">
      <c r="A176"/>
      <c r="B176"/>
      <c r="C176"/>
      <c r="D176"/>
      <c r="E176" s="95"/>
      <c r="F176"/>
      <c r="G176"/>
      <c r="H176" s="10"/>
      <c r="I176" s="10"/>
      <c r="J176" s="10"/>
      <c r="K176" s="10"/>
      <c r="L176" s="10"/>
      <c r="M176" s="51"/>
    </row>
    <row r="177" spans="1:13" x14ac:dyDescent="0.2">
      <c r="A177"/>
      <c r="B177"/>
      <c r="C177"/>
      <c r="D177"/>
      <c r="E177" s="95"/>
      <c r="F177"/>
      <c r="G177"/>
      <c r="H177" s="10"/>
      <c r="I177" s="10"/>
      <c r="J177" s="10"/>
      <c r="K177" s="10"/>
      <c r="L177" s="10"/>
      <c r="M177" s="51"/>
    </row>
    <row r="178" spans="1:13" x14ac:dyDescent="0.2">
      <c r="A178"/>
      <c r="B178"/>
      <c r="C178"/>
      <c r="D178"/>
      <c r="E178" s="95"/>
      <c r="F178"/>
      <c r="G178"/>
      <c r="H178" s="10"/>
      <c r="I178" s="10"/>
      <c r="J178" s="10"/>
      <c r="K178" s="10"/>
      <c r="L178" s="10"/>
      <c r="M178" s="51"/>
    </row>
    <row r="179" spans="1:13" x14ac:dyDescent="0.2">
      <c r="A179"/>
      <c r="B179"/>
      <c r="C179"/>
      <c r="D179"/>
      <c r="E179" s="95"/>
      <c r="F179"/>
      <c r="G179"/>
      <c r="H179" s="10"/>
      <c r="I179" s="10"/>
      <c r="J179" s="10"/>
      <c r="K179" s="10"/>
      <c r="L179" s="10"/>
      <c r="M179" s="51"/>
    </row>
    <row r="180" spans="1:13" x14ac:dyDescent="0.2">
      <c r="A180"/>
      <c r="B180"/>
      <c r="C180"/>
      <c r="D180"/>
      <c r="E180" s="95"/>
      <c r="F180"/>
      <c r="G180"/>
      <c r="H180" s="10"/>
      <c r="I180" s="10"/>
      <c r="J180" s="10"/>
      <c r="K180" s="10"/>
      <c r="L180" s="10"/>
      <c r="M180" s="51"/>
    </row>
    <row r="181" spans="1:13" x14ac:dyDescent="0.2">
      <c r="A181"/>
      <c r="B181"/>
      <c r="C181"/>
      <c r="D181"/>
      <c r="E181" s="95"/>
      <c r="F181"/>
      <c r="G181"/>
      <c r="H181" s="10"/>
      <c r="I181" s="10"/>
      <c r="J181" s="10"/>
      <c r="K181" s="10"/>
      <c r="L181" s="10"/>
      <c r="M181" s="51"/>
    </row>
    <row r="182" spans="1:13" x14ac:dyDescent="0.2">
      <c r="A182"/>
      <c r="B182"/>
      <c r="C182"/>
      <c r="D182"/>
      <c r="E182" s="95"/>
      <c r="F182"/>
      <c r="G182"/>
      <c r="H182" s="10"/>
      <c r="I182" s="10"/>
      <c r="J182" s="10"/>
      <c r="K182" s="10"/>
      <c r="L182" s="10"/>
      <c r="M182" s="51"/>
    </row>
    <row r="183" spans="1:13" x14ac:dyDescent="0.2">
      <c r="A183"/>
      <c r="B183"/>
      <c r="C183"/>
      <c r="D183"/>
      <c r="E183" s="95"/>
      <c r="F183"/>
      <c r="G183"/>
      <c r="H183" s="10"/>
      <c r="I183" s="10"/>
      <c r="J183" s="10"/>
      <c r="K183" s="10"/>
      <c r="L183" s="10"/>
      <c r="M183" s="51"/>
    </row>
    <row r="184" spans="1:13" x14ac:dyDescent="0.2">
      <c r="A184"/>
      <c r="B184"/>
      <c r="C184"/>
      <c r="D184"/>
      <c r="E184" s="95"/>
      <c r="F184"/>
      <c r="G184"/>
      <c r="H184" s="10"/>
      <c r="I184" s="10"/>
      <c r="J184" s="10"/>
      <c r="K184" s="10"/>
      <c r="L184" s="10"/>
      <c r="M184" s="51"/>
    </row>
    <row r="185" spans="1:13" x14ac:dyDescent="0.2">
      <c r="A185"/>
      <c r="B185"/>
      <c r="C185"/>
      <c r="D185"/>
      <c r="E185" s="95"/>
      <c r="F185"/>
      <c r="G185"/>
      <c r="H185" s="10"/>
      <c r="I185" s="10"/>
      <c r="J185" s="10"/>
      <c r="K185" s="10"/>
      <c r="L185" s="10"/>
      <c r="M185" s="51"/>
    </row>
    <row r="186" spans="1:13" x14ac:dyDescent="0.2">
      <c r="A186"/>
      <c r="B186"/>
      <c r="C186"/>
      <c r="D186"/>
      <c r="E186" s="95"/>
      <c r="F186"/>
      <c r="G186"/>
      <c r="H186" s="10"/>
      <c r="I186" s="10"/>
      <c r="J186" s="10"/>
      <c r="K186" s="10"/>
      <c r="L186" s="10"/>
      <c r="M186" s="51"/>
    </row>
    <row r="187" spans="1:13" x14ac:dyDescent="0.2">
      <c r="A187"/>
      <c r="B187"/>
      <c r="C187"/>
      <c r="D187"/>
      <c r="E187" s="95"/>
      <c r="F187"/>
      <c r="G187"/>
      <c r="H187" s="10"/>
      <c r="I187" s="10"/>
      <c r="J187" s="10"/>
      <c r="K187" s="10"/>
      <c r="L187" s="10"/>
      <c r="M187" s="51"/>
    </row>
    <row r="188" spans="1:13" x14ac:dyDescent="0.2">
      <c r="A188"/>
      <c r="B188"/>
      <c r="C188"/>
      <c r="D188"/>
      <c r="E188" s="95"/>
      <c r="F188"/>
      <c r="G188"/>
      <c r="H188" s="10"/>
      <c r="I188" s="10"/>
      <c r="J188" s="10"/>
      <c r="K188" s="10"/>
      <c r="L188" s="10"/>
      <c r="M188" s="51"/>
    </row>
    <row r="189" spans="1:13" x14ac:dyDescent="0.2">
      <c r="A189"/>
      <c r="B189"/>
      <c r="C189"/>
      <c r="D189"/>
      <c r="E189" s="95"/>
      <c r="F189"/>
      <c r="G189"/>
      <c r="H189" s="10"/>
      <c r="I189" s="10"/>
      <c r="J189" s="10"/>
      <c r="K189" s="10"/>
      <c r="L189" s="10"/>
      <c r="M189" s="51"/>
    </row>
    <row r="190" spans="1:13" x14ac:dyDescent="0.2">
      <c r="A190"/>
      <c r="B190"/>
      <c r="C190"/>
      <c r="D190"/>
      <c r="E190" s="95"/>
      <c r="F190"/>
      <c r="G190"/>
      <c r="H190" s="10"/>
      <c r="I190" s="10"/>
      <c r="J190" s="10"/>
      <c r="K190" s="10"/>
      <c r="L190" s="10"/>
      <c r="M190" s="51"/>
    </row>
    <row r="191" spans="1:13" x14ac:dyDescent="0.2">
      <c r="A191"/>
      <c r="B191"/>
      <c r="C191"/>
      <c r="D191"/>
      <c r="E191" s="95"/>
      <c r="F191"/>
      <c r="G191"/>
      <c r="H191" s="10"/>
      <c r="I191" s="10"/>
      <c r="J191" s="10"/>
      <c r="K191" s="10"/>
      <c r="L191" s="10"/>
      <c r="M191" s="51"/>
    </row>
    <row r="192" spans="1:13" x14ac:dyDescent="0.2">
      <c r="A192"/>
      <c r="B192"/>
      <c r="C192"/>
      <c r="D192"/>
      <c r="E192" s="95"/>
      <c r="F192"/>
      <c r="G192"/>
      <c r="H192" s="10"/>
      <c r="I192" s="10"/>
      <c r="J192" s="10"/>
      <c r="K192" s="10"/>
      <c r="L192" s="10"/>
      <c r="M192" s="51"/>
    </row>
    <row r="193" spans="1:13" x14ac:dyDescent="0.2">
      <c r="A193"/>
      <c r="B193"/>
      <c r="C193"/>
      <c r="D193"/>
      <c r="E193" s="95"/>
      <c r="F193"/>
      <c r="G193"/>
      <c r="H193" s="10"/>
      <c r="I193" s="10"/>
      <c r="J193" s="10"/>
      <c r="K193" s="10"/>
      <c r="L193" s="10"/>
      <c r="M193" s="51"/>
    </row>
    <row r="194" spans="1:13" x14ac:dyDescent="0.2">
      <c r="A194"/>
      <c r="B194"/>
      <c r="C194"/>
      <c r="D194"/>
      <c r="E194" s="95"/>
      <c r="F194"/>
      <c r="G194"/>
      <c r="H194" s="10"/>
      <c r="I194" s="10"/>
      <c r="J194" s="10"/>
      <c r="K194" s="10"/>
      <c r="L194" s="10"/>
      <c r="M194" s="51"/>
    </row>
    <row r="195" spans="1:13" x14ac:dyDescent="0.2">
      <c r="A195"/>
      <c r="B195"/>
      <c r="C195"/>
      <c r="D195"/>
      <c r="E195" s="95"/>
      <c r="F195"/>
      <c r="G195"/>
      <c r="H195" s="10"/>
      <c r="I195" s="10"/>
      <c r="J195" s="10"/>
      <c r="K195" s="10"/>
      <c r="L195" s="10"/>
      <c r="M195" s="51"/>
    </row>
    <row r="196" spans="1:13" x14ac:dyDescent="0.2">
      <c r="A196"/>
      <c r="B196"/>
      <c r="C196"/>
      <c r="D196"/>
      <c r="E196" s="95"/>
      <c r="F196"/>
      <c r="G196"/>
      <c r="H196" s="10"/>
      <c r="I196" s="10"/>
      <c r="J196" s="10"/>
      <c r="K196" s="10"/>
      <c r="L196" s="10"/>
      <c r="M196" s="51"/>
    </row>
    <row r="197" spans="1:13" x14ac:dyDescent="0.2">
      <c r="A197"/>
      <c r="B197"/>
      <c r="C197"/>
      <c r="D197"/>
      <c r="E197" s="95"/>
      <c r="F197"/>
      <c r="G197"/>
      <c r="H197" s="10"/>
      <c r="I197" s="10"/>
      <c r="J197" s="10"/>
      <c r="K197" s="10"/>
      <c r="L197" s="10"/>
      <c r="M197" s="51"/>
    </row>
    <row r="198" spans="1:13" x14ac:dyDescent="0.2">
      <c r="A198"/>
      <c r="B198"/>
      <c r="C198"/>
      <c r="D198"/>
      <c r="E198" s="95"/>
      <c r="F198"/>
      <c r="G198"/>
      <c r="H198" s="10"/>
      <c r="I198" s="10"/>
      <c r="J198" s="10"/>
      <c r="K198" s="10"/>
      <c r="L198" s="10"/>
      <c r="M198" s="51"/>
    </row>
    <row r="199" spans="1:13" x14ac:dyDescent="0.2">
      <c r="A199"/>
      <c r="B199"/>
      <c r="C199"/>
      <c r="D199"/>
      <c r="E199" s="95"/>
      <c r="F199"/>
      <c r="G199"/>
      <c r="H199" s="10"/>
      <c r="I199" s="10"/>
      <c r="J199" s="10"/>
      <c r="K199" s="10"/>
      <c r="L199" s="10"/>
      <c r="M199" s="51"/>
    </row>
    <row r="200" spans="1:13" x14ac:dyDescent="0.2">
      <c r="A200"/>
      <c r="B200"/>
      <c r="C200"/>
      <c r="D200"/>
      <c r="E200" s="95"/>
      <c r="F200"/>
      <c r="G200"/>
      <c r="H200" s="10"/>
      <c r="I200" s="10"/>
      <c r="J200" s="10"/>
      <c r="K200" s="10"/>
      <c r="L200" s="10"/>
      <c r="M200" s="51"/>
    </row>
    <row r="201" spans="1:13" x14ac:dyDescent="0.2">
      <c r="A201"/>
      <c r="B201"/>
      <c r="C201"/>
      <c r="D201"/>
      <c r="E201" s="95"/>
      <c r="F201"/>
      <c r="G201"/>
      <c r="H201" s="10"/>
      <c r="I201" s="10"/>
      <c r="J201" s="10"/>
      <c r="K201" s="10"/>
      <c r="L201" s="10"/>
      <c r="M201" s="51"/>
    </row>
    <row r="202" spans="1:13" x14ac:dyDescent="0.2">
      <c r="A202"/>
      <c r="B202"/>
      <c r="C202"/>
      <c r="D202"/>
      <c r="E202" s="95"/>
      <c r="F202"/>
      <c r="G202"/>
      <c r="H202" s="10"/>
      <c r="I202" s="10"/>
      <c r="J202" s="10"/>
      <c r="K202" s="10"/>
      <c r="L202" s="10"/>
      <c r="M202" s="51"/>
    </row>
    <row r="203" spans="1:13" x14ac:dyDescent="0.2">
      <c r="A203"/>
      <c r="B203"/>
      <c r="C203"/>
      <c r="D203"/>
      <c r="E203" s="95"/>
      <c r="F203"/>
      <c r="G203"/>
      <c r="H203" s="10"/>
      <c r="I203" s="10"/>
      <c r="J203" s="10"/>
      <c r="K203" s="10"/>
      <c r="L203" s="10"/>
      <c r="M203" s="51"/>
    </row>
    <row r="204" spans="1:13" x14ac:dyDescent="0.2">
      <c r="A204"/>
      <c r="B204"/>
      <c r="C204"/>
      <c r="D204"/>
      <c r="E204" s="95"/>
      <c r="F204"/>
      <c r="G204"/>
      <c r="H204" s="10"/>
      <c r="I204" s="10"/>
      <c r="J204" s="10"/>
      <c r="K204" s="10"/>
      <c r="L204" s="10"/>
      <c r="M204" s="51"/>
    </row>
    <row r="205" spans="1:13" x14ac:dyDescent="0.2">
      <c r="A205"/>
      <c r="B205"/>
      <c r="C205"/>
      <c r="D205"/>
      <c r="E205" s="95"/>
      <c r="F205"/>
      <c r="G205"/>
      <c r="H205" s="10"/>
      <c r="I205" s="10"/>
      <c r="J205" s="10"/>
      <c r="K205" s="10"/>
      <c r="L205" s="10"/>
      <c r="M205" s="51"/>
    </row>
    <row r="206" spans="1:13" x14ac:dyDescent="0.2">
      <c r="A206"/>
      <c r="B206"/>
      <c r="C206"/>
      <c r="D206"/>
      <c r="E206" s="95"/>
      <c r="F206"/>
      <c r="G206"/>
      <c r="H206" s="10"/>
      <c r="I206" s="10"/>
      <c r="J206" s="10"/>
      <c r="K206" s="10"/>
      <c r="L206" s="10"/>
      <c r="M206" s="51"/>
    </row>
    <row r="207" spans="1:13" x14ac:dyDescent="0.2">
      <c r="A207"/>
      <c r="B207"/>
      <c r="C207"/>
      <c r="D207"/>
      <c r="E207" s="95"/>
      <c r="F207"/>
      <c r="G207"/>
      <c r="H207" s="10"/>
      <c r="I207" s="10"/>
      <c r="J207" s="10"/>
      <c r="K207" s="10"/>
      <c r="L207" s="10"/>
      <c r="M207" s="51"/>
    </row>
    <row r="208" spans="1:13" x14ac:dyDescent="0.2">
      <c r="A208"/>
      <c r="B208"/>
      <c r="C208"/>
      <c r="D208"/>
      <c r="E208" s="95"/>
      <c r="F208"/>
      <c r="G208"/>
      <c r="H208" s="10"/>
      <c r="I208" s="10"/>
      <c r="J208" s="10"/>
      <c r="K208" s="10"/>
      <c r="L208" s="10"/>
      <c r="M208" s="51"/>
    </row>
    <row r="209" spans="1:13" x14ac:dyDescent="0.2">
      <c r="A209"/>
      <c r="B209"/>
      <c r="C209"/>
      <c r="D209"/>
      <c r="E209" s="95"/>
      <c r="F209"/>
      <c r="G209"/>
      <c r="H209" s="10"/>
      <c r="I209" s="10"/>
      <c r="J209" s="10"/>
      <c r="K209" s="10"/>
      <c r="L209" s="10"/>
      <c r="M209" s="51"/>
    </row>
    <row r="210" spans="1:13" x14ac:dyDescent="0.2">
      <c r="A210"/>
      <c r="B210"/>
      <c r="C210"/>
      <c r="D210"/>
      <c r="E210" s="95"/>
      <c r="F210"/>
      <c r="G210"/>
      <c r="H210" s="10"/>
      <c r="I210" s="10"/>
      <c r="J210" s="10"/>
      <c r="K210" s="10"/>
      <c r="L210" s="10"/>
      <c r="M210" s="51"/>
    </row>
    <row r="211" spans="1:13" x14ac:dyDescent="0.2">
      <c r="A211"/>
      <c r="B211"/>
      <c r="C211"/>
      <c r="D211"/>
      <c r="E211" s="95"/>
      <c r="F211"/>
      <c r="G211"/>
      <c r="H211" s="10"/>
      <c r="I211" s="10"/>
      <c r="J211" s="10"/>
      <c r="K211" s="10"/>
      <c r="L211" s="10"/>
      <c r="M211" s="51"/>
    </row>
    <row r="212" spans="1:13" x14ac:dyDescent="0.2">
      <c r="A212"/>
      <c r="B212"/>
      <c r="C212"/>
      <c r="D212"/>
      <c r="E212" s="95"/>
      <c r="F212"/>
      <c r="G212"/>
      <c r="H212" s="10"/>
      <c r="I212" s="10"/>
      <c r="J212" s="10"/>
      <c r="K212" s="10"/>
      <c r="L212" s="10"/>
      <c r="M212" s="51"/>
    </row>
    <row r="213" spans="1:13" x14ac:dyDescent="0.2">
      <c r="A213"/>
      <c r="B213"/>
      <c r="C213"/>
      <c r="D213"/>
      <c r="E213" s="95"/>
      <c r="F213"/>
      <c r="G213"/>
      <c r="H213" s="10"/>
      <c r="I213" s="10"/>
      <c r="J213" s="10"/>
      <c r="K213" s="10"/>
      <c r="L213" s="10"/>
      <c r="M213" s="51"/>
    </row>
    <row r="214" spans="1:13" x14ac:dyDescent="0.2">
      <c r="A214"/>
      <c r="B214"/>
      <c r="C214"/>
      <c r="D214"/>
      <c r="E214" s="95"/>
      <c r="F214"/>
      <c r="G214"/>
      <c r="H214" s="10"/>
      <c r="I214" s="10"/>
      <c r="J214" s="10"/>
      <c r="K214" s="10"/>
      <c r="L214" s="10"/>
      <c r="M214" s="51"/>
    </row>
    <row r="215" spans="1:13" x14ac:dyDescent="0.2">
      <c r="A215"/>
      <c r="B215"/>
      <c r="C215"/>
      <c r="D215"/>
      <c r="E215" s="95"/>
      <c r="F215"/>
      <c r="G215"/>
      <c r="H215" s="10"/>
      <c r="I215" s="10"/>
      <c r="J215" s="10"/>
      <c r="K215" s="10"/>
      <c r="L215" s="10"/>
      <c r="M215" s="51"/>
    </row>
    <row r="216" spans="1:13" x14ac:dyDescent="0.2">
      <c r="A216"/>
      <c r="B216"/>
      <c r="C216"/>
      <c r="D216"/>
      <c r="E216" s="95"/>
      <c r="F216"/>
      <c r="G216"/>
      <c r="H216" s="10"/>
      <c r="I216" s="10"/>
      <c r="J216" s="10"/>
      <c r="K216" s="10"/>
      <c r="L216" s="10"/>
      <c r="M216" s="51"/>
    </row>
    <row r="217" spans="1:13" x14ac:dyDescent="0.2">
      <c r="A217"/>
      <c r="B217"/>
      <c r="C217"/>
      <c r="D217"/>
      <c r="E217" s="95"/>
      <c r="F217"/>
      <c r="G217"/>
      <c r="H217" s="10"/>
      <c r="I217" s="10"/>
      <c r="J217" s="10"/>
      <c r="K217" s="10"/>
      <c r="L217" s="10"/>
      <c r="M217" s="51"/>
    </row>
    <row r="218" spans="1:13" x14ac:dyDescent="0.2">
      <c r="A218"/>
      <c r="B218"/>
      <c r="C218"/>
      <c r="D218"/>
      <c r="E218" s="95"/>
      <c r="F218"/>
      <c r="G218"/>
      <c r="H218" s="10"/>
      <c r="I218" s="10"/>
      <c r="J218" s="10"/>
      <c r="K218" s="10"/>
      <c r="L218" s="10"/>
      <c r="M218" s="51"/>
    </row>
    <row r="219" spans="1:13" x14ac:dyDescent="0.2">
      <c r="A219"/>
      <c r="B219"/>
      <c r="C219"/>
      <c r="D219"/>
      <c r="E219" s="95"/>
      <c r="F219"/>
      <c r="G219"/>
      <c r="H219" s="10"/>
      <c r="I219" s="10"/>
      <c r="J219" s="10"/>
      <c r="K219" s="10"/>
      <c r="L219" s="10"/>
      <c r="M219" s="51"/>
    </row>
    <row r="220" spans="1:13" x14ac:dyDescent="0.2">
      <c r="A220"/>
      <c r="B220"/>
      <c r="C220"/>
      <c r="D220"/>
      <c r="E220" s="95"/>
      <c r="F220"/>
      <c r="G220"/>
      <c r="H220" s="10"/>
      <c r="I220" s="10"/>
      <c r="J220" s="10"/>
      <c r="K220" s="10"/>
      <c r="L220" s="10"/>
      <c r="M220" s="51"/>
    </row>
    <row r="221" spans="1:13" x14ac:dyDescent="0.2">
      <c r="A221"/>
      <c r="B221"/>
      <c r="C221"/>
      <c r="D221"/>
      <c r="E221" s="95"/>
      <c r="F221"/>
      <c r="G221"/>
      <c r="H221" s="10"/>
      <c r="I221" s="10"/>
      <c r="J221" s="10"/>
      <c r="K221" s="10"/>
      <c r="L221" s="10"/>
      <c r="M221" s="51"/>
    </row>
    <row r="222" spans="1:13" x14ac:dyDescent="0.2">
      <c r="A222"/>
      <c r="B222"/>
      <c r="C222"/>
      <c r="D222"/>
      <c r="E222" s="95"/>
      <c r="F222"/>
      <c r="G222"/>
      <c r="H222" s="10"/>
      <c r="I222" s="10"/>
      <c r="J222" s="10"/>
      <c r="K222" s="10"/>
      <c r="L222" s="10"/>
      <c r="M222" s="51"/>
    </row>
    <row r="223" spans="1:13" x14ac:dyDescent="0.2">
      <c r="A223"/>
      <c r="B223"/>
      <c r="C223"/>
      <c r="D223"/>
      <c r="E223" s="95"/>
      <c r="F223"/>
      <c r="G223"/>
      <c r="H223" s="10"/>
      <c r="I223" s="10"/>
      <c r="J223" s="10"/>
      <c r="K223" s="10"/>
      <c r="L223" s="10"/>
      <c r="M223" s="51"/>
    </row>
    <row r="224" spans="1:13" x14ac:dyDescent="0.2">
      <c r="A224"/>
      <c r="B224"/>
      <c r="C224"/>
      <c r="D224"/>
      <c r="E224" s="95"/>
      <c r="F224"/>
      <c r="G224"/>
      <c r="H224" s="10"/>
      <c r="I224" s="10"/>
      <c r="J224" s="10"/>
      <c r="K224" s="10"/>
      <c r="L224" s="10"/>
      <c r="M224" s="51"/>
    </row>
    <row r="225" spans="1:13" x14ac:dyDescent="0.2">
      <c r="A225"/>
      <c r="B225"/>
      <c r="C225"/>
      <c r="D225"/>
      <c r="E225" s="95"/>
      <c r="F225"/>
      <c r="G225"/>
      <c r="H225" s="10"/>
      <c r="I225" s="10"/>
      <c r="J225" s="10"/>
      <c r="K225" s="10"/>
      <c r="L225" s="10"/>
      <c r="M225" s="51"/>
    </row>
    <row r="226" spans="1:13" x14ac:dyDescent="0.2">
      <c r="A226"/>
      <c r="B226"/>
      <c r="C226"/>
      <c r="D226"/>
      <c r="E226" s="95"/>
      <c r="F226"/>
      <c r="G226"/>
      <c r="H226" s="10"/>
      <c r="I226" s="10"/>
      <c r="J226" s="10"/>
      <c r="K226" s="10"/>
      <c r="L226" s="10"/>
      <c r="M226" s="51"/>
    </row>
    <row r="227" spans="1:13" x14ac:dyDescent="0.2">
      <c r="A227"/>
      <c r="B227"/>
      <c r="C227"/>
      <c r="D227"/>
      <c r="E227" s="95"/>
      <c r="F227"/>
      <c r="G227"/>
      <c r="H227" s="10"/>
      <c r="I227" s="10"/>
      <c r="J227" s="10"/>
      <c r="K227" s="10"/>
      <c r="L227" s="10"/>
      <c r="M227" s="51"/>
    </row>
    <row r="228" spans="1:13" x14ac:dyDescent="0.2">
      <c r="A228"/>
      <c r="B228"/>
      <c r="C228"/>
      <c r="D228"/>
      <c r="E228" s="95"/>
      <c r="F228"/>
      <c r="G228"/>
      <c r="H228" s="10"/>
      <c r="I228" s="10"/>
      <c r="J228" s="10"/>
      <c r="K228" s="10"/>
      <c r="L228" s="10"/>
      <c r="M228" s="51"/>
    </row>
    <row r="229" spans="1:13" x14ac:dyDescent="0.2">
      <c r="A229"/>
      <c r="B229"/>
      <c r="C229"/>
      <c r="D229"/>
      <c r="E229" s="95"/>
      <c r="F229"/>
      <c r="G229"/>
      <c r="H229" s="10"/>
      <c r="I229" s="10"/>
      <c r="J229" s="10"/>
      <c r="K229" s="10"/>
      <c r="L229" s="10"/>
      <c r="M229" s="51"/>
    </row>
    <row r="230" spans="1:13" x14ac:dyDescent="0.2">
      <c r="A230"/>
      <c r="B230"/>
      <c r="C230"/>
      <c r="D230"/>
      <c r="E230" s="95"/>
      <c r="F230"/>
      <c r="G230"/>
      <c r="H230" s="10"/>
      <c r="I230" s="10"/>
      <c r="J230" s="10"/>
      <c r="K230" s="10"/>
      <c r="L230" s="10"/>
      <c r="M230" s="51"/>
    </row>
    <row r="231" spans="1:13" x14ac:dyDescent="0.2">
      <c r="A231"/>
      <c r="B231"/>
      <c r="C231"/>
      <c r="D231"/>
      <c r="E231" s="95"/>
      <c r="F231"/>
      <c r="G231"/>
      <c r="H231" s="10"/>
      <c r="I231" s="10"/>
      <c r="J231" s="10"/>
      <c r="K231" s="10"/>
      <c r="L231" s="10"/>
      <c r="M231" s="51"/>
    </row>
    <row r="232" spans="1:13" x14ac:dyDescent="0.2">
      <c r="A232"/>
      <c r="B232"/>
      <c r="C232"/>
      <c r="D232"/>
      <c r="E232" s="95"/>
      <c r="F232"/>
      <c r="G232"/>
      <c r="H232" s="10"/>
      <c r="I232" s="10"/>
      <c r="J232" s="10"/>
      <c r="K232" s="10"/>
      <c r="L232" s="10"/>
      <c r="M232" s="51"/>
    </row>
    <row r="233" spans="1:13" x14ac:dyDescent="0.2">
      <c r="A233"/>
      <c r="B233"/>
      <c r="C233"/>
      <c r="D233"/>
      <c r="E233" s="95"/>
      <c r="F233"/>
      <c r="G233"/>
      <c r="H233" s="10"/>
      <c r="I233" s="10"/>
      <c r="J233" s="10"/>
      <c r="K233" s="10"/>
      <c r="L233" s="10"/>
      <c r="M233" s="51"/>
    </row>
    <row r="234" spans="1:13" x14ac:dyDescent="0.2">
      <c r="A234"/>
      <c r="B234"/>
      <c r="C234"/>
      <c r="D234"/>
      <c r="E234" s="95"/>
      <c r="F234"/>
      <c r="G234"/>
      <c r="H234" s="10"/>
      <c r="I234" s="10"/>
      <c r="J234" s="10"/>
      <c r="K234" s="10"/>
      <c r="L234" s="10"/>
      <c r="M234" s="51"/>
    </row>
    <row r="235" spans="1:13" x14ac:dyDescent="0.2">
      <c r="A235"/>
      <c r="B235"/>
      <c r="C235"/>
      <c r="D235"/>
      <c r="E235" s="95"/>
      <c r="F235"/>
      <c r="G235"/>
      <c r="H235" s="10"/>
      <c r="I235" s="10"/>
      <c r="J235" s="10"/>
      <c r="K235" s="10"/>
      <c r="L235" s="10"/>
      <c r="M235" s="51"/>
    </row>
    <row r="236" spans="1:13" x14ac:dyDescent="0.2">
      <c r="A236"/>
      <c r="B236"/>
      <c r="C236"/>
      <c r="D236"/>
      <c r="E236" s="95"/>
      <c r="F236"/>
      <c r="G236"/>
      <c r="H236" s="10"/>
      <c r="I236" s="10"/>
      <c r="J236" s="10"/>
      <c r="K236" s="10"/>
      <c r="L236" s="10"/>
      <c r="M236" s="51"/>
    </row>
    <row r="237" spans="1:13" x14ac:dyDescent="0.2">
      <c r="A237"/>
      <c r="B237"/>
      <c r="C237"/>
      <c r="D237"/>
      <c r="E237" s="95"/>
      <c r="F237"/>
      <c r="G237"/>
      <c r="H237" s="10"/>
      <c r="I237" s="10"/>
      <c r="J237" s="10"/>
      <c r="K237" s="10"/>
      <c r="L237" s="10"/>
      <c r="M237" s="51"/>
    </row>
    <row r="238" spans="1:13" x14ac:dyDescent="0.2">
      <c r="A238"/>
      <c r="B238"/>
      <c r="C238"/>
      <c r="D238"/>
      <c r="E238" s="95"/>
      <c r="F238"/>
      <c r="G238"/>
      <c r="H238" s="10"/>
      <c r="I238" s="10"/>
      <c r="J238" s="10"/>
      <c r="K238" s="10"/>
      <c r="L238" s="10"/>
      <c r="M238" s="51"/>
    </row>
    <row r="239" spans="1:13" x14ac:dyDescent="0.2">
      <c r="A239"/>
      <c r="B239"/>
      <c r="C239"/>
      <c r="D239"/>
      <c r="E239" s="95"/>
      <c r="F239"/>
      <c r="G239"/>
      <c r="H239" s="10"/>
      <c r="I239" s="10"/>
      <c r="J239" s="10"/>
      <c r="K239" s="10"/>
      <c r="L239" s="10"/>
      <c r="M239" s="51"/>
    </row>
    <row r="240" spans="1:13" x14ac:dyDescent="0.2">
      <c r="A240"/>
      <c r="B240"/>
      <c r="C240"/>
      <c r="D240"/>
      <c r="E240" s="95"/>
      <c r="F240"/>
      <c r="G240"/>
      <c r="H240" s="10"/>
      <c r="I240" s="10"/>
      <c r="J240" s="10"/>
      <c r="K240" s="10"/>
      <c r="L240" s="10"/>
      <c r="M240" s="51"/>
    </row>
  </sheetData>
  <autoFilter ref="A1:M240"/>
  <pageMargins left="0.75" right="0.75" top="1" bottom="1" header="0.5" footer="0.5"/>
  <pageSetup scale="73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N225"/>
  <sheetViews>
    <sheetView zoomScale="120" zoomScaleNormal="120" workbookViewId="0">
      <pane ySplit="1" topLeftCell="A40" activePane="bottomLeft" state="frozen"/>
      <selection activeCell="L2" sqref="L2"/>
      <selection pane="bottomLeft" activeCell="A40" sqref="A40"/>
    </sheetView>
  </sheetViews>
  <sheetFormatPr defaultColWidth="9.140625" defaultRowHeight="12.75" x14ac:dyDescent="0.2"/>
  <cols>
    <col min="1" max="1" width="10.140625" style="3" customWidth="1"/>
    <col min="2" max="2" width="25.7109375" style="3" customWidth="1"/>
    <col min="3" max="3" width="10.85546875" style="3" bestFit="1" customWidth="1"/>
    <col min="4" max="4" width="13.7109375" style="3" customWidth="1"/>
    <col min="5" max="5" width="11.42578125" style="8" customWidth="1"/>
    <col min="6" max="7" width="8" style="3" customWidth="1"/>
    <col min="8" max="8" width="8" style="11" customWidth="1"/>
    <col min="9" max="9" width="10.5703125" style="11" customWidth="1"/>
    <col min="10" max="10" width="15.28515625" style="11" customWidth="1"/>
    <col min="11" max="11" width="9.140625" style="11" customWidth="1"/>
    <col min="12" max="12" width="8" style="11" customWidth="1"/>
    <col min="13" max="13" width="116.28515625" style="82" customWidth="1"/>
    <col min="14" max="14" width="27.85546875" style="14" bestFit="1" customWidth="1"/>
    <col min="15" max="16384" width="9.140625" style="3"/>
  </cols>
  <sheetData>
    <row r="1" spans="1:14" s="1" customFormat="1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1" t="s">
        <v>5</v>
      </c>
      <c r="G1" s="1" t="s">
        <v>6</v>
      </c>
      <c r="H1" s="9" t="s">
        <v>7</v>
      </c>
      <c r="I1" s="30" t="s">
        <v>8</v>
      </c>
      <c r="J1" s="30" t="s">
        <v>9</v>
      </c>
      <c r="K1" s="16" t="s">
        <v>10</v>
      </c>
      <c r="L1" s="16" t="s">
        <v>11</v>
      </c>
      <c r="M1" s="77" t="s">
        <v>12</v>
      </c>
      <c r="N1" s="13"/>
    </row>
    <row r="2" spans="1:14" x14ac:dyDescent="0.2">
      <c r="A2" s="18" t="s">
        <v>190</v>
      </c>
      <c r="B2" t="s">
        <v>171</v>
      </c>
      <c r="C2" s="5">
        <v>43726</v>
      </c>
      <c r="D2" s="2" t="s">
        <v>44</v>
      </c>
      <c r="E2" s="7">
        <v>14793</v>
      </c>
      <c r="F2"/>
      <c r="G2"/>
      <c r="H2" s="19">
        <f>H6</f>
        <v>-2.4914999999999998</v>
      </c>
      <c r="I2" s="10"/>
      <c r="J2" s="10"/>
      <c r="K2" s="10"/>
      <c r="L2" s="47">
        <f>-(937-36)</f>
        <v>-901</v>
      </c>
      <c r="M2" s="83" t="s">
        <v>191</v>
      </c>
    </row>
    <row r="3" spans="1:14" x14ac:dyDescent="0.2">
      <c r="A3" s="18" t="s">
        <v>190</v>
      </c>
      <c r="B3" t="s">
        <v>171</v>
      </c>
      <c r="C3" s="5">
        <v>43726</v>
      </c>
      <c r="D3" s="2" t="s">
        <v>46</v>
      </c>
      <c r="E3" s="7">
        <v>13390040</v>
      </c>
      <c r="F3"/>
      <c r="G3"/>
      <c r="H3" s="19">
        <f>H7</f>
        <v>-2.3515000000000001</v>
      </c>
      <c r="I3" s="10"/>
      <c r="J3" s="10"/>
      <c r="K3" s="10"/>
      <c r="L3" s="10"/>
      <c r="M3" s="83" t="s">
        <v>192</v>
      </c>
    </row>
    <row r="4" spans="1:14" x14ac:dyDescent="0.2">
      <c r="A4" s="18" t="s">
        <v>190</v>
      </c>
      <c r="B4" t="s">
        <v>171</v>
      </c>
      <c r="C4" s="5">
        <v>43726</v>
      </c>
      <c r="D4" s="2" t="s">
        <v>23</v>
      </c>
      <c r="E4" s="7"/>
      <c r="F4"/>
      <c r="G4"/>
      <c r="H4" s="10">
        <v>-3.0156999999999998</v>
      </c>
      <c r="I4" s="10"/>
      <c r="J4" s="10"/>
      <c r="K4" s="10"/>
      <c r="L4" s="10"/>
      <c r="M4" s="51"/>
    </row>
    <row r="5" spans="1:14" x14ac:dyDescent="0.2">
      <c r="A5" s="18" t="s">
        <v>190</v>
      </c>
      <c r="B5" t="s">
        <v>171</v>
      </c>
      <c r="C5" s="5">
        <v>43726</v>
      </c>
      <c r="D5" s="2" t="s">
        <v>21</v>
      </c>
      <c r="E5" s="7"/>
      <c r="F5">
        <v>150934</v>
      </c>
      <c r="G5">
        <v>522136</v>
      </c>
      <c r="H5" s="10">
        <v>1.2255</v>
      </c>
      <c r="I5" s="10"/>
      <c r="J5" s="10"/>
      <c r="K5" s="10"/>
      <c r="L5" s="10"/>
      <c r="M5" s="51"/>
    </row>
    <row r="6" spans="1:14" x14ac:dyDescent="0.2">
      <c r="A6" s="18" t="s">
        <v>190</v>
      </c>
      <c r="B6" t="s">
        <v>171</v>
      </c>
      <c r="C6" s="5">
        <v>43747</v>
      </c>
      <c r="D6" s="2" t="s">
        <v>44</v>
      </c>
      <c r="E6" s="7">
        <v>14793</v>
      </c>
      <c r="F6"/>
      <c r="G6"/>
      <c r="H6" s="53">
        <f>-0.5815-1.91</f>
        <v>-2.4914999999999998</v>
      </c>
      <c r="I6" s="45"/>
      <c r="J6" s="10"/>
      <c r="K6" s="10"/>
      <c r="L6" s="47">
        <f>-(937-36)</f>
        <v>-901</v>
      </c>
      <c r="M6" s="45">
        <f>-0.5815-1.91</f>
        <v>-2.4914999999999998</v>
      </c>
    </row>
    <row r="7" spans="1:14" x14ac:dyDescent="0.2">
      <c r="A7" s="18" t="s">
        <v>190</v>
      </c>
      <c r="B7" t="s">
        <v>171</v>
      </c>
      <c r="C7" s="5">
        <v>43747</v>
      </c>
      <c r="D7" s="2" t="s">
        <v>46</v>
      </c>
      <c r="E7" s="7">
        <v>13390040</v>
      </c>
      <c r="F7"/>
      <c r="G7"/>
      <c r="H7" s="53">
        <f>-0.5815-1.77</f>
        <v>-2.3515000000000001</v>
      </c>
      <c r="I7" s="45"/>
      <c r="J7" s="10"/>
      <c r="K7" s="10"/>
      <c r="L7" s="10"/>
      <c r="M7" s="45">
        <f>-0.5815-1.77</f>
        <v>-2.3515000000000001</v>
      </c>
    </row>
    <row r="8" spans="1:14" x14ac:dyDescent="0.2">
      <c r="A8" s="18" t="s">
        <v>190</v>
      </c>
      <c r="B8" t="s">
        <v>171</v>
      </c>
      <c r="C8" s="5">
        <v>43747</v>
      </c>
      <c r="D8" s="2" t="s">
        <v>23</v>
      </c>
      <c r="E8" s="7"/>
      <c r="F8"/>
      <c r="G8"/>
      <c r="H8" s="37">
        <v>-3.048</v>
      </c>
      <c r="I8" s="46"/>
      <c r="J8" s="10"/>
      <c r="K8" s="10"/>
      <c r="L8" s="10"/>
      <c r="M8" s="46">
        <v>-3.048</v>
      </c>
    </row>
    <row r="9" spans="1:14" x14ac:dyDescent="0.2">
      <c r="A9" s="18" t="s">
        <v>190</v>
      </c>
      <c r="B9" t="s">
        <v>171</v>
      </c>
      <c r="C9" s="5">
        <v>43747</v>
      </c>
      <c r="D9" s="2" t="s">
        <v>21</v>
      </c>
      <c r="E9" s="7"/>
      <c r="F9">
        <v>150934</v>
      </c>
      <c r="G9">
        <v>522135</v>
      </c>
      <c r="H9" s="37">
        <v>1.1737</v>
      </c>
      <c r="I9" s="46"/>
      <c r="J9" s="10"/>
      <c r="K9" s="10"/>
      <c r="L9" s="10"/>
      <c r="M9" s="46">
        <v>1.1737</v>
      </c>
    </row>
    <row r="10" spans="1:14" x14ac:dyDescent="0.2">
      <c r="A10" s="18" t="s">
        <v>190</v>
      </c>
      <c r="B10" t="s">
        <v>171</v>
      </c>
      <c r="C10" s="5">
        <v>43780</v>
      </c>
      <c r="D10" s="2" t="s">
        <v>44</v>
      </c>
      <c r="E10" s="7">
        <v>14793</v>
      </c>
      <c r="F10"/>
      <c r="G10"/>
      <c r="H10" s="53">
        <f>-0.5815-1.91</f>
        <v>-2.4914999999999998</v>
      </c>
      <c r="I10" s="45"/>
      <c r="J10" s="10"/>
      <c r="K10" s="10"/>
      <c r="L10" s="93">
        <f>-(937-36+6)</f>
        <v>-907</v>
      </c>
      <c r="M10" s="45">
        <f>-0.5467-1.91</f>
        <v>-2.4566999999999997</v>
      </c>
    </row>
    <row r="11" spans="1:14" x14ac:dyDescent="0.2">
      <c r="A11" s="18" t="s">
        <v>190</v>
      </c>
      <c r="B11" t="s">
        <v>171</v>
      </c>
      <c r="C11" s="5">
        <v>43780</v>
      </c>
      <c r="D11" s="2" t="s">
        <v>46</v>
      </c>
      <c r="E11" s="7">
        <v>13390040</v>
      </c>
      <c r="F11"/>
      <c r="G11"/>
      <c r="H11" s="53">
        <f>-0.5815-1.77</f>
        <v>-2.3515000000000001</v>
      </c>
      <c r="I11" s="45"/>
      <c r="J11" s="10"/>
      <c r="K11" s="10"/>
      <c r="L11" s="10"/>
      <c r="M11" s="45">
        <f>-0.5467-1.77</f>
        <v>-2.3167</v>
      </c>
    </row>
    <row r="12" spans="1:14" x14ac:dyDescent="0.2">
      <c r="A12" s="18" t="s">
        <v>190</v>
      </c>
      <c r="B12" t="s">
        <v>171</v>
      </c>
      <c r="C12" s="5">
        <v>43780</v>
      </c>
      <c r="D12" s="2" t="s">
        <v>23</v>
      </c>
      <c r="E12" s="7"/>
      <c r="F12"/>
      <c r="G12"/>
      <c r="H12" s="37">
        <v>-3.048</v>
      </c>
      <c r="I12" s="46"/>
      <c r="J12" s="10"/>
      <c r="K12" s="10"/>
      <c r="L12" s="10"/>
      <c r="M12" s="46">
        <v>-3.0409999999999999</v>
      </c>
    </row>
    <row r="13" spans="1:14" x14ac:dyDescent="0.2">
      <c r="A13" s="18" t="s">
        <v>190</v>
      </c>
      <c r="B13" t="s">
        <v>171</v>
      </c>
      <c r="C13" s="5">
        <v>43780</v>
      </c>
      <c r="D13" s="2" t="s">
        <v>21</v>
      </c>
      <c r="E13" s="7"/>
      <c r="F13">
        <v>150934</v>
      </c>
      <c r="G13">
        <v>522136</v>
      </c>
      <c r="H13" s="37">
        <v>1.2252000000000001</v>
      </c>
      <c r="I13" s="46"/>
      <c r="J13" s="10"/>
      <c r="K13" s="10"/>
      <c r="L13" s="10"/>
      <c r="M13" s="46">
        <v>1.2252000000000001</v>
      </c>
    </row>
    <row r="14" spans="1:14" x14ac:dyDescent="0.2">
      <c r="A14" s="18" t="s">
        <v>190</v>
      </c>
      <c r="B14" t="s">
        <v>171</v>
      </c>
      <c r="C14" s="5">
        <v>43802</v>
      </c>
      <c r="D14" s="2" t="s">
        <v>44</v>
      </c>
      <c r="E14" s="7">
        <v>14793</v>
      </c>
      <c r="F14"/>
      <c r="G14"/>
      <c r="H14" s="53">
        <f>-0.541-1.91</f>
        <v>-2.4510000000000001</v>
      </c>
      <c r="I14" s="45"/>
      <c r="J14" s="10"/>
      <c r="K14" s="10"/>
      <c r="L14" s="47">
        <f>-(937-36+6)</f>
        <v>-907</v>
      </c>
      <c r="M14" s="45">
        <f>-0.541-1.91</f>
        <v>-2.4510000000000001</v>
      </c>
    </row>
    <row r="15" spans="1:14" x14ac:dyDescent="0.2">
      <c r="A15" s="18" t="s">
        <v>190</v>
      </c>
      <c r="B15" t="s">
        <v>171</v>
      </c>
      <c r="C15" s="5">
        <v>43802</v>
      </c>
      <c r="D15" s="2" t="s">
        <v>46</v>
      </c>
      <c r="E15" s="7">
        <v>13390040</v>
      </c>
      <c r="F15"/>
      <c r="G15"/>
      <c r="H15" s="53">
        <f>-0.541-1.77</f>
        <v>-2.3109999999999999</v>
      </c>
      <c r="I15" s="45"/>
      <c r="J15" s="10"/>
      <c r="K15" s="10"/>
      <c r="L15" s="10"/>
      <c r="M15" s="45">
        <f>-0.541-1.77</f>
        <v>-2.3109999999999999</v>
      </c>
    </row>
    <row r="16" spans="1:14" x14ac:dyDescent="0.2">
      <c r="A16" s="18" t="s">
        <v>190</v>
      </c>
      <c r="B16" t="s">
        <v>171</v>
      </c>
      <c r="C16" s="5">
        <v>43802</v>
      </c>
      <c r="D16" s="2" t="s">
        <v>23</v>
      </c>
      <c r="E16" s="7"/>
      <c r="F16"/>
      <c r="G16"/>
      <c r="H16" s="37">
        <v>-3.09</v>
      </c>
      <c r="I16" s="46"/>
      <c r="J16" s="10"/>
      <c r="K16" s="10"/>
      <c r="L16" s="10"/>
      <c r="M16" s="46">
        <v>-3.09</v>
      </c>
    </row>
    <row r="17" spans="1:14" x14ac:dyDescent="0.2">
      <c r="A17" s="18" t="s">
        <v>190</v>
      </c>
      <c r="B17" t="s">
        <v>171</v>
      </c>
      <c r="C17" s="5">
        <v>43802</v>
      </c>
      <c r="D17" s="2" t="s">
        <v>21</v>
      </c>
      <c r="E17" s="7"/>
      <c r="F17">
        <v>150934</v>
      </c>
      <c r="G17">
        <v>522136</v>
      </c>
      <c r="H17" s="37">
        <v>1.2252000000000001</v>
      </c>
      <c r="I17" s="46"/>
      <c r="J17" s="10"/>
      <c r="K17" s="10"/>
      <c r="L17" s="10"/>
      <c r="M17" s="46">
        <v>1.2485999999999999</v>
      </c>
    </row>
    <row r="18" spans="1:14" s="4" customFormat="1" x14ac:dyDescent="0.2">
      <c r="A18" s="18" t="s">
        <v>190</v>
      </c>
      <c r="B18" t="s">
        <v>171</v>
      </c>
      <c r="C18" s="5">
        <v>43838</v>
      </c>
      <c r="D18" s="2" t="s">
        <v>44</v>
      </c>
      <c r="E18" s="7">
        <v>14793</v>
      </c>
      <c r="F18"/>
      <c r="G18"/>
      <c r="H18" s="53">
        <f>-0.5895-1.91</f>
        <v>-2.4994999999999998</v>
      </c>
      <c r="I18" s="45"/>
      <c r="J18" s="10"/>
      <c r="K18" s="10"/>
      <c r="L18" s="47">
        <f>-(937-36+6)</f>
        <v>-907</v>
      </c>
      <c r="M18" s="45">
        <f>-0.5895-1.91</f>
        <v>-2.4994999999999998</v>
      </c>
      <c r="N18" s="15"/>
    </row>
    <row r="19" spans="1:14" x14ac:dyDescent="0.2">
      <c r="A19" s="18" t="s">
        <v>190</v>
      </c>
      <c r="B19" t="s">
        <v>171</v>
      </c>
      <c r="C19" s="5">
        <v>43838</v>
      </c>
      <c r="D19" s="2" t="s">
        <v>46</v>
      </c>
      <c r="E19" s="7">
        <v>13390040</v>
      </c>
      <c r="F19"/>
      <c r="G19"/>
      <c r="H19" s="53">
        <f>-0.5895-1.77</f>
        <v>-2.3595000000000002</v>
      </c>
      <c r="I19" s="45"/>
      <c r="J19" s="10"/>
      <c r="K19" s="10"/>
      <c r="L19" s="10"/>
      <c r="M19" s="45">
        <f>-0.5895-1.77</f>
        <v>-2.3595000000000002</v>
      </c>
    </row>
    <row r="20" spans="1:14" x14ac:dyDescent="0.2">
      <c r="A20" s="18" t="s">
        <v>190</v>
      </c>
      <c r="B20" t="s">
        <v>171</v>
      </c>
      <c r="C20" s="5">
        <v>43838</v>
      </c>
      <c r="D20" s="2" t="s">
        <v>23</v>
      </c>
      <c r="E20" s="7"/>
      <c r="F20"/>
      <c r="G20"/>
      <c r="H20" s="37">
        <v>-3.0769000000000002</v>
      </c>
      <c r="I20" s="46"/>
      <c r="J20" s="10"/>
      <c r="K20" s="10"/>
      <c r="L20" s="10"/>
      <c r="M20" s="46">
        <v>-3.0769000000000002</v>
      </c>
    </row>
    <row r="21" spans="1:14" x14ac:dyDescent="0.2">
      <c r="A21" s="18" t="s">
        <v>190</v>
      </c>
      <c r="B21" t="s">
        <v>171</v>
      </c>
      <c r="C21" s="5">
        <v>43838</v>
      </c>
      <c r="D21" s="2" t="s">
        <v>21</v>
      </c>
      <c r="E21" s="7"/>
      <c r="F21">
        <v>150934</v>
      </c>
      <c r="G21">
        <v>522136</v>
      </c>
      <c r="H21" s="37">
        <v>1.1478999999999999</v>
      </c>
      <c r="I21" s="46"/>
      <c r="J21" s="10"/>
      <c r="K21" s="10"/>
      <c r="L21" s="10"/>
      <c r="M21" s="46">
        <v>1.1478999999999999</v>
      </c>
    </row>
    <row r="22" spans="1:14" x14ac:dyDescent="0.2">
      <c r="A22" s="18" t="s">
        <v>190</v>
      </c>
      <c r="B22" t="s">
        <v>171</v>
      </c>
      <c r="C22" s="5">
        <v>43858</v>
      </c>
      <c r="D22" s="2" t="s">
        <v>44</v>
      </c>
      <c r="E22" s="7">
        <v>14793</v>
      </c>
      <c r="F22"/>
      <c r="G22"/>
      <c r="H22" s="53">
        <f>-0.5895-1.91</f>
        <v>-2.4994999999999998</v>
      </c>
      <c r="I22" s="45"/>
      <c r="J22" s="10"/>
      <c r="K22" s="10"/>
      <c r="L22" s="47">
        <f>-(937-36+6)</f>
        <v>-907</v>
      </c>
      <c r="M22" s="45">
        <f>-0.557-1.91</f>
        <v>-2.4670000000000001</v>
      </c>
    </row>
    <row r="23" spans="1:14" x14ac:dyDescent="0.2">
      <c r="A23" s="18" t="s">
        <v>190</v>
      </c>
      <c r="B23" t="s">
        <v>171</v>
      </c>
      <c r="C23" s="5">
        <v>43858</v>
      </c>
      <c r="D23" s="2" t="s">
        <v>46</v>
      </c>
      <c r="E23" s="7">
        <v>13390040</v>
      </c>
      <c r="F23"/>
      <c r="G23"/>
      <c r="H23" s="53">
        <v>-2.327</v>
      </c>
      <c r="I23" s="45"/>
      <c r="J23" s="10"/>
      <c r="K23" s="10"/>
      <c r="L23" s="10"/>
      <c r="M23" s="45">
        <f>-0.557-1.77</f>
        <v>-2.327</v>
      </c>
    </row>
    <row r="24" spans="1:14" x14ac:dyDescent="0.2">
      <c r="A24" s="18" t="s">
        <v>190</v>
      </c>
      <c r="B24" t="s">
        <v>171</v>
      </c>
      <c r="C24" s="5">
        <v>43858</v>
      </c>
      <c r="D24" s="2" t="s">
        <v>23</v>
      </c>
      <c r="E24" s="7"/>
      <c r="F24"/>
      <c r="G24"/>
      <c r="H24" s="37">
        <v>-3.0756999999999999</v>
      </c>
      <c r="I24" s="46"/>
      <c r="J24" s="10"/>
      <c r="K24" s="10"/>
      <c r="L24" s="10"/>
      <c r="M24" s="46">
        <v>-3.0756999999999999</v>
      </c>
    </row>
    <row r="25" spans="1:14" x14ac:dyDescent="0.2">
      <c r="A25" s="18" t="s">
        <v>190</v>
      </c>
      <c r="B25" t="s">
        <v>171</v>
      </c>
      <c r="C25" s="5">
        <v>43858</v>
      </c>
      <c r="D25" s="2" t="s">
        <v>21</v>
      </c>
      <c r="E25" s="7"/>
      <c r="F25">
        <v>150934</v>
      </c>
      <c r="G25">
        <v>522136</v>
      </c>
      <c r="H25" s="37">
        <v>1.1857</v>
      </c>
      <c r="I25" s="46"/>
      <c r="J25" s="10"/>
      <c r="K25" s="10"/>
      <c r="L25" s="10"/>
      <c r="M25" s="46">
        <v>1.1857</v>
      </c>
    </row>
    <row r="26" spans="1:14" x14ac:dyDescent="0.2">
      <c r="A26" s="18" t="s">
        <v>190</v>
      </c>
      <c r="B26" t="s">
        <v>171</v>
      </c>
      <c r="C26" s="5">
        <v>43888</v>
      </c>
      <c r="D26" s="2" t="s">
        <v>44</v>
      </c>
      <c r="E26" s="7">
        <v>14793</v>
      </c>
      <c r="F26"/>
      <c r="G26"/>
      <c r="H26" s="53">
        <f>-0.5459-1.91</f>
        <v>-2.4558999999999997</v>
      </c>
      <c r="I26" s="45"/>
      <c r="J26" s="10"/>
      <c r="K26" s="10"/>
      <c r="L26" s="47">
        <f>-(937-36+6)</f>
        <v>-907</v>
      </c>
      <c r="M26" s="45">
        <f>-0.5459-1.91</f>
        <v>-2.4558999999999997</v>
      </c>
    </row>
    <row r="27" spans="1:14" x14ac:dyDescent="0.2">
      <c r="A27" s="18" t="s">
        <v>190</v>
      </c>
      <c r="B27" t="s">
        <v>171</v>
      </c>
      <c r="C27" s="5">
        <v>43888</v>
      </c>
      <c r="D27" s="2" t="s">
        <v>46</v>
      </c>
      <c r="E27" s="7">
        <v>13390040</v>
      </c>
      <c r="F27"/>
      <c r="G27"/>
      <c r="H27" s="53">
        <v>-2.327</v>
      </c>
      <c r="I27" s="45"/>
      <c r="J27" s="10"/>
      <c r="K27" s="10"/>
      <c r="L27" s="10"/>
      <c r="M27" s="45">
        <f>-0.5459-1.77</f>
        <v>-2.3159000000000001</v>
      </c>
    </row>
    <row r="28" spans="1:14" x14ac:dyDescent="0.2">
      <c r="A28" s="18" t="s">
        <v>190</v>
      </c>
      <c r="B28" t="s">
        <v>171</v>
      </c>
      <c r="C28" s="5">
        <v>43888</v>
      </c>
      <c r="D28" s="2" t="s">
        <v>23</v>
      </c>
      <c r="E28" s="7"/>
      <c r="F28"/>
      <c r="G28"/>
      <c r="H28" s="37">
        <v>-3.0526</v>
      </c>
      <c r="I28" s="46"/>
      <c r="J28" s="10"/>
      <c r="K28" s="10"/>
      <c r="L28" s="10"/>
      <c r="M28" s="46">
        <v>-3.0526</v>
      </c>
    </row>
    <row r="29" spans="1:14" x14ac:dyDescent="0.2">
      <c r="A29" s="18" t="s">
        <v>190</v>
      </c>
      <c r="B29" t="s">
        <v>171</v>
      </c>
      <c r="C29" s="5">
        <v>43888</v>
      </c>
      <c r="D29" s="2" t="s">
        <v>21</v>
      </c>
      <c r="E29" s="7"/>
      <c r="F29">
        <v>150934</v>
      </c>
      <c r="G29">
        <v>522136</v>
      </c>
      <c r="H29" s="37">
        <v>1.2251000000000001</v>
      </c>
      <c r="I29" s="46"/>
      <c r="J29" s="10"/>
      <c r="K29" s="10"/>
      <c r="L29" s="10"/>
      <c r="M29" s="46">
        <v>1.2251000000000001</v>
      </c>
    </row>
    <row r="30" spans="1:14" x14ac:dyDescent="0.2">
      <c r="A30" s="18" t="s">
        <v>190</v>
      </c>
      <c r="B30" t="s">
        <v>171</v>
      </c>
      <c r="C30" s="5">
        <v>43914</v>
      </c>
      <c r="D30" s="2" t="s">
        <v>44</v>
      </c>
      <c r="E30" s="7">
        <v>14793</v>
      </c>
      <c r="F30"/>
      <c r="G30"/>
      <c r="H30" s="53">
        <f>-0.5459-1.91</f>
        <v>-2.4558999999999997</v>
      </c>
      <c r="I30" s="45"/>
      <c r="J30" s="10"/>
      <c r="K30" s="10"/>
      <c r="L30" s="47">
        <f>-(937-36+6)</f>
        <v>-907</v>
      </c>
      <c r="M30" s="45">
        <f>-0.5413-1.91</f>
        <v>-2.4512999999999998</v>
      </c>
    </row>
    <row r="31" spans="1:14" x14ac:dyDescent="0.2">
      <c r="A31" s="18" t="s">
        <v>190</v>
      </c>
      <c r="B31" t="s">
        <v>171</v>
      </c>
      <c r="C31" s="5">
        <v>43914</v>
      </c>
      <c r="D31" s="2" t="s">
        <v>46</v>
      </c>
      <c r="E31" s="7">
        <v>13390040</v>
      </c>
      <c r="F31"/>
      <c r="G31"/>
      <c r="H31" s="53">
        <v>-2.327</v>
      </c>
      <c r="I31" s="45"/>
      <c r="J31" s="10"/>
      <c r="K31" s="10"/>
      <c r="L31" s="10"/>
      <c r="M31" s="45">
        <f>-0.5413-1.77</f>
        <v>-2.3113000000000001</v>
      </c>
    </row>
    <row r="32" spans="1:14" x14ac:dyDescent="0.2">
      <c r="A32" s="18" t="s">
        <v>190</v>
      </c>
      <c r="B32" t="s">
        <v>171</v>
      </c>
      <c r="C32" s="5">
        <v>43914</v>
      </c>
      <c r="D32" s="2" t="s">
        <v>23</v>
      </c>
      <c r="E32" s="7"/>
      <c r="F32"/>
      <c r="G32"/>
      <c r="H32" s="37">
        <v>-3.1404000000000001</v>
      </c>
      <c r="I32" s="46"/>
      <c r="J32" s="10"/>
      <c r="K32" s="10"/>
      <c r="L32" s="10"/>
      <c r="M32" s="46">
        <v>-3.1404000000000001</v>
      </c>
    </row>
    <row r="33" spans="1:14" x14ac:dyDescent="0.2">
      <c r="A33" s="18" t="s">
        <v>190</v>
      </c>
      <c r="B33" t="s">
        <v>171</v>
      </c>
      <c r="C33" s="5">
        <v>43914</v>
      </c>
      <c r="D33" s="2" t="s">
        <v>21</v>
      </c>
      <c r="E33" s="7"/>
      <c r="F33">
        <v>150934</v>
      </c>
      <c r="G33">
        <v>522136</v>
      </c>
      <c r="H33" s="37">
        <v>1.2251000000000001</v>
      </c>
      <c r="I33" s="46"/>
      <c r="J33" s="10"/>
      <c r="K33" s="10"/>
      <c r="L33" s="10"/>
      <c r="M33" s="46">
        <v>1.2484</v>
      </c>
    </row>
    <row r="34" spans="1:14" x14ac:dyDescent="0.2">
      <c r="A34" s="18" t="s">
        <v>190</v>
      </c>
      <c r="B34" t="s">
        <v>171</v>
      </c>
      <c r="C34" s="5">
        <v>43944</v>
      </c>
      <c r="D34" s="2" t="s">
        <v>44</v>
      </c>
      <c r="E34" s="7">
        <v>14793</v>
      </c>
      <c r="F34"/>
      <c r="G34"/>
      <c r="H34" s="53">
        <v>-2.4815999999999998</v>
      </c>
      <c r="I34" s="45"/>
      <c r="J34" s="10"/>
      <c r="K34" s="10"/>
      <c r="L34" s="47">
        <f>-(937-36+6-12)</f>
        <v>-895</v>
      </c>
      <c r="M34" s="75" t="s">
        <v>193</v>
      </c>
    </row>
    <row r="35" spans="1:14" x14ac:dyDescent="0.2">
      <c r="A35" s="18" t="s">
        <v>190</v>
      </c>
      <c r="B35" t="s">
        <v>171</v>
      </c>
      <c r="C35" s="5">
        <v>43944</v>
      </c>
      <c r="D35" s="2" t="s">
        <v>46</v>
      </c>
      <c r="E35" s="7">
        <v>13390040</v>
      </c>
      <c r="F35"/>
      <c r="G35"/>
      <c r="H35" s="53">
        <v>-2.327</v>
      </c>
      <c r="I35" s="45"/>
      <c r="J35" s="10"/>
      <c r="K35" s="10"/>
      <c r="L35" s="10"/>
      <c r="M35" s="45">
        <f>-0.5716-1.77</f>
        <v>-2.3416000000000001</v>
      </c>
    </row>
    <row r="36" spans="1:14" x14ac:dyDescent="0.2">
      <c r="A36" s="18" t="s">
        <v>190</v>
      </c>
      <c r="B36" t="s">
        <v>171</v>
      </c>
      <c r="C36" s="5">
        <v>43944</v>
      </c>
      <c r="D36" s="2" t="s">
        <v>23</v>
      </c>
      <c r="E36" s="7"/>
      <c r="F36"/>
      <c r="G36"/>
      <c r="H36" s="37">
        <v>-3.1404000000000001</v>
      </c>
      <c r="I36" s="46"/>
      <c r="J36" s="10"/>
      <c r="K36" s="10"/>
      <c r="L36" s="10"/>
      <c r="M36" s="46">
        <v>-3.1109</v>
      </c>
    </row>
    <row r="37" spans="1:14" x14ac:dyDescent="0.2">
      <c r="A37" s="18" t="s">
        <v>190</v>
      </c>
      <c r="B37" t="s">
        <v>171</v>
      </c>
      <c r="C37" s="5">
        <v>43944</v>
      </c>
      <c r="D37" s="2" t="s">
        <v>21</v>
      </c>
      <c r="E37" s="7"/>
      <c r="F37">
        <v>150934</v>
      </c>
      <c r="G37">
        <v>522136</v>
      </c>
      <c r="H37" s="37">
        <v>1.2251000000000001</v>
      </c>
      <c r="I37" s="46"/>
      <c r="J37" s="10"/>
      <c r="K37" s="10"/>
      <c r="L37" s="10"/>
      <c r="M37" s="112" t="s">
        <v>194</v>
      </c>
    </row>
    <row r="38" spans="1:14" x14ac:dyDescent="0.2">
      <c r="A38" s="18" t="s">
        <v>190</v>
      </c>
      <c r="B38" t="s">
        <v>171</v>
      </c>
      <c r="C38" s="5">
        <v>43970</v>
      </c>
      <c r="D38" s="2" t="s">
        <v>44</v>
      </c>
      <c r="E38" s="7">
        <v>14793</v>
      </c>
      <c r="F38"/>
      <c r="G38"/>
      <c r="H38" s="109">
        <v>-2.4815999999999998</v>
      </c>
      <c r="I38" s="45"/>
      <c r="J38" s="10"/>
      <c r="K38" s="10"/>
      <c r="L38" s="93">
        <f>-(937-36+6-12-19)</f>
        <v>-876</v>
      </c>
      <c r="M38" s="106" t="s">
        <v>195</v>
      </c>
    </row>
    <row r="39" spans="1:14" x14ac:dyDescent="0.2">
      <c r="A39" s="18" t="s">
        <v>190</v>
      </c>
      <c r="B39" t="s">
        <v>171</v>
      </c>
      <c r="C39" s="5">
        <v>43970</v>
      </c>
      <c r="D39" s="2" t="s">
        <v>46</v>
      </c>
      <c r="E39" s="7">
        <v>13390040</v>
      </c>
      <c r="F39"/>
      <c r="G39"/>
      <c r="H39" s="53">
        <f>-0.5155-1.77</f>
        <v>-2.2854999999999999</v>
      </c>
      <c r="I39" s="45"/>
      <c r="J39" s="10"/>
      <c r="K39" s="10"/>
      <c r="L39" s="10"/>
      <c r="M39" s="45">
        <f>-0.5155-1.77</f>
        <v>-2.2854999999999999</v>
      </c>
    </row>
    <row r="40" spans="1:14" x14ac:dyDescent="0.2">
      <c r="A40" s="18" t="s">
        <v>190</v>
      </c>
      <c r="B40" t="s">
        <v>171</v>
      </c>
      <c r="C40" s="5">
        <v>43970</v>
      </c>
      <c r="D40" s="2" t="s">
        <v>23</v>
      </c>
      <c r="E40" s="7"/>
      <c r="F40"/>
      <c r="G40"/>
      <c r="H40" s="37">
        <v>-3.1404000000000001</v>
      </c>
      <c r="I40" s="46"/>
      <c r="J40" s="10"/>
      <c r="K40" s="10"/>
      <c r="L40" s="10"/>
      <c r="M40" s="46">
        <v>-3.0015000000000001</v>
      </c>
    </row>
    <row r="41" spans="1:14" s="126" customFormat="1" ht="13.5" thickBot="1" x14ac:dyDescent="0.25">
      <c r="A41" s="117" t="s">
        <v>190</v>
      </c>
      <c r="B41" s="118" t="s">
        <v>171</v>
      </c>
      <c r="C41" s="129">
        <v>43970</v>
      </c>
      <c r="D41" s="120" t="s">
        <v>21</v>
      </c>
      <c r="E41" s="121"/>
      <c r="F41" s="118">
        <v>150934</v>
      </c>
      <c r="G41" s="118">
        <v>522136</v>
      </c>
      <c r="H41" s="122">
        <v>1.2251000000000001</v>
      </c>
      <c r="I41" s="124"/>
      <c r="J41" s="123"/>
      <c r="K41" s="123"/>
      <c r="L41" s="123"/>
      <c r="M41" s="124">
        <v>1.2503</v>
      </c>
      <c r="N41" s="125"/>
    </row>
    <row r="42" spans="1:14" x14ac:dyDescent="0.2">
      <c r="A42"/>
      <c r="B42"/>
      <c r="C42"/>
      <c r="D42"/>
      <c r="E42" s="7"/>
      <c r="F42"/>
      <c r="G42"/>
      <c r="H42" s="10"/>
      <c r="I42" s="10"/>
      <c r="J42" s="10"/>
      <c r="K42" s="10"/>
      <c r="L42" s="10"/>
      <c r="M42" s="51"/>
    </row>
    <row r="43" spans="1:14" x14ac:dyDescent="0.2">
      <c r="A43"/>
      <c r="B43"/>
      <c r="C43"/>
      <c r="D43"/>
      <c r="E43" s="7"/>
      <c r="F43"/>
      <c r="G43"/>
      <c r="H43" s="10"/>
      <c r="I43" s="10"/>
      <c r="J43" s="10"/>
      <c r="K43" s="10"/>
      <c r="L43" s="10"/>
      <c r="M43" s="51"/>
    </row>
    <row r="44" spans="1:14" x14ac:dyDescent="0.2">
      <c r="A44"/>
      <c r="B44"/>
      <c r="C44"/>
      <c r="D44"/>
      <c r="E44" s="7"/>
      <c r="F44"/>
      <c r="G44"/>
      <c r="H44" s="10"/>
      <c r="I44" s="10"/>
      <c r="J44" s="10"/>
      <c r="K44" s="10"/>
      <c r="L44" s="10"/>
      <c r="M44" s="51"/>
    </row>
    <row r="45" spans="1:14" x14ac:dyDescent="0.2">
      <c r="A45"/>
      <c r="B45"/>
      <c r="C45"/>
      <c r="D45"/>
      <c r="E45" s="7"/>
      <c r="F45"/>
      <c r="G45"/>
      <c r="H45" s="10"/>
      <c r="I45" s="10"/>
      <c r="J45" s="10"/>
      <c r="K45" s="10"/>
      <c r="L45" s="10"/>
      <c r="M45" s="51"/>
    </row>
    <row r="46" spans="1:14" x14ac:dyDescent="0.2">
      <c r="A46"/>
      <c r="B46"/>
      <c r="C46"/>
      <c r="D46"/>
      <c r="E46" s="7"/>
      <c r="F46"/>
      <c r="G46"/>
      <c r="H46" s="10"/>
      <c r="I46" s="10"/>
      <c r="J46" s="10"/>
      <c r="K46" s="10"/>
      <c r="L46" s="10"/>
      <c r="M46" s="51"/>
    </row>
    <row r="47" spans="1:14" x14ac:dyDescent="0.2">
      <c r="A47"/>
      <c r="B47"/>
      <c r="C47"/>
      <c r="D47"/>
      <c r="E47" s="7"/>
      <c r="F47"/>
      <c r="G47"/>
      <c r="H47" s="10"/>
      <c r="I47" s="10"/>
      <c r="J47" s="10"/>
      <c r="K47" s="10"/>
      <c r="L47" s="10"/>
      <c r="M47" s="51"/>
    </row>
    <row r="48" spans="1:14" x14ac:dyDescent="0.2">
      <c r="A48"/>
      <c r="B48"/>
      <c r="C48"/>
      <c r="D48"/>
      <c r="E48" s="7"/>
      <c r="F48"/>
      <c r="G48"/>
      <c r="H48" s="10"/>
      <c r="I48" s="10"/>
      <c r="J48" s="10"/>
      <c r="K48" s="10"/>
      <c r="L48" s="10"/>
      <c r="M48" s="51"/>
    </row>
    <row r="49" spans="1:13" x14ac:dyDescent="0.2">
      <c r="A49"/>
      <c r="B49"/>
      <c r="C49"/>
      <c r="D49"/>
      <c r="E49" s="7"/>
      <c r="F49"/>
      <c r="G49"/>
      <c r="H49" s="10"/>
      <c r="I49" s="10"/>
      <c r="J49" s="10"/>
      <c r="K49" s="10"/>
      <c r="L49" s="10"/>
      <c r="M49" s="51"/>
    </row>
    <row r="50" spans="1:13" x14ac:dyDescent="0.2">
      <c r="A50"/>
      <c r="B50"/>
      <c r="C50"/>
      <c r="D50"/>
      <c r="E50" s="7"/>
      <c r="F50"/>
      <c r="G50"/>
      <c r="H50" s="10"/>
      <c r="I50" s="10"/>
      <c r="J50" s="10"/>
      <c r="K50" s="10"/>
      <c r="L50" s="10"/>
      <c r="M50" s="51"/>
    </row>
    <row r="51" spans="1:13" x14ac:dyDescent="0.2">
      <c r="A51"/>
      <c r="B51"/>
      <c r="C51"/>
      <c r="D51"/>
      <c r="E51" s="7"/>
      <c r="F51"/>
      <c r="G51"/>
      <c r="H51" s="10"/>
      <c r="I51" s="10"/>
      <c r="J51" s="10"/>
      <c r="K51" s="10"/>
      <c r="L51" s="10"/>
      <c r="M51" s="51"/>
    </row>
    <row r="52" spans="1:13" x14ac:dyDescent="0.2">
      <c r="A52"/>
      <c r="B52"/>
      <c r="C52"/>
      <c r="D52"/>
      <c r="E52" s="7"/>
      <c r="F52"/>
      <c r="G52"/>
      <c r="H52" s="10"/>
      <c r="I52" s="10"/>
      <c r="J52" s="10"/>
      <c r="K52" s="10"/>
      <c r="L52" s="10"/>
      <c r="M52" s="51"/>
    </row>
    <row r="53" spans="1:13" x14ac:dyDescent="0.2">
      <c r="A53"/>
      <c r="B53"/>
      <c r="C53"/>
      <c r="D53"/>
      <c r="E53" s="7"/>
      <c r="F53"/>
      <c r="G53"/>
      <c r="H53" s="10"/>
      <c r="I53" s="10"/>
      <c r="J53" s="10"/>
      <c r="K53" s="10"/>
      <c r="L53" s="10"/>
      <c r="M53" s="51"/>
    </row>
    <row r="54" spans="1:13" x14ac:dyDescent="0.2">
      <c r="A54"/>
      <c r="B54"/>
      <c r="C54"/>
      <c r="D54"/>
      <c r="E54" s="7"/>
      <c r="F54"/>
      <c r="G54"/>
      <c r="H54" s="10"/>
      <c r="I54" s="10"/>
      <c r="J54" s="10"/>
      <c r="K54" s="10"/>
      <c r="L54" s="10"/>
      <c r="M54" s="51"/>
    </row>
    <row r="55" spans="1:13" x14ac:dyDescent="0.2">
      <c r="A55"/>
      <c r="B55"/>
      <c r="C55"/>
      <c r="D55"/>
      <c r="E55" s="7"/>
      <c r="F55"/>
      <c r="G55"/>
      <c r="H55" s="10"/>
      <c r="I55" s="10"/>
      <c r="J55" s="10"/>
      <c r="K55" s="10"/>
      <c r="L55" s="10"/>
      <c r="M55" s="51"/>
    </row>
    <row r="56" spans="1:13" x14ac:dyDescent="0.2">
      <c r="A56"/>
      <c r="B56"/>
      <c r="C56"/>
      <c r="D56"/>
      <c r="E56" s="7"/>
      <c r="F56"/>
      <c r="G56"/>
      <c r="H56" s="10"/>
      <c r="I56" s="10"/>
      <c r="J56" s="10"/>
      <c r="K56" s="10"/>
      <c r="L56" s="10"/>
      <c r="M56" s="51"/>
    </row>
    <row r="57" spans="1:13" x14ac:dyDescent="0.2">
      <c r="A57"/>
      <c r="B57"/>
      <c r="C57"/>
      <c r="D57"/>
      <c r="E57" s="7"/>
      <c r="F57"/>
      <c r="G57"/>
      <c r="H57" s="10"/>
      <c r="I57" s="10"/>
      <c r="J57" s="10"/>
      <c r="K57" s="10"/>
      <c r="L57" s="10"/>
      <c r="M57" s="51"/>
    </row>
    <row r="58" spans="1:13" x14ac:dyDescent="0.2">
      <c r="A58"/>
      <c r="B58"/>
      <c r="C58"/>
      <c r="D58"/>
      <c r="E58" s="7"/>
      <c r="F58"/>
      <c r="G58"/>
      <c r="H58" s="10"/>
      <c r="I58" s="10"/>
      <c r="J58" s="10"/>
      <c r="K58" s="10"/>
      <c r="L58" s="10"/>
      <c r="M58" s="51"/>
    </row>
    <row r="59" spans="1:13" x14ac:dyDescent="0.2">
      <c r="A59"/>
      <c r="B59"/>
      <c r="C59"/>
      <c r="D59"/>
      <c r="E59" s="7"/>
      <c r="F59"/>
      <c r="G59"/>
      <c r="H59" s="10"/>
      <c r="I59" s="10"/>
      <c r="J59" s="10"/>
      <c r="K59" s="10"/>
      <c r="L59" s="10"/>
      <c r="M59" s="51"/>
    </row>
    <row r="60" spans="1:13" x14ac:dyDescent="0.2">
      <c r="A60"/>
      <c r="B60"/>
      <c r="C60"/>
      <c r="D60"/>
      <c r="E60" s="7"/>
      <c r="F60"/>
      <c r="G60"/>
      <c r="H60" s="10"/>
      <c r="I60" s="10"/>
      <c r="J60" s="10"/>
      <c r="K60" s="10"/>
      <c r="L60" s="10"/>
      <c r="M60" s="51"/>
    </row>
    <row r="61" spans="1:13" x14ac:dyDescent="0.2">
      <c r="A61"/>
      <c r="B61"/>
      <c r="C61"/>
      <c r="D61"/>
      <c r="E61" s="7"/>
      <c r="F61"/>
      <c r="G61"/>
      <c r="H61" s="10"/>
      <c r="I61" s="10"/>
      <c r="J61" s="10"/>
      <c r="K61" s="10"/>
      <c r="L61" s="10"/>
      <c r="M61" s="51"/>
    </row>
    <row r="62" spans="1:13" x14ac:dyDescent="0.2">
      <c r="A62"/>
      <c r="B62"/>
      <c r="C62"/>
      <c r="D62"/>
      <c r="E62" s="7"/>
      <c r="F62"/>
      <c r="G62"/>
      <c r="H62" s="10"/>
      <c r="I62" s="10"/>
      <c r="J62" s="10"/>
      <c r="K62" s="10"/>
      <c r="L62" s="10"/>
      <c r="M62" s="51"/>
    </row>
    <row r="63" spans="1:13" x14ac:dyDescent="0.2">
      <c r="A63"/>
      <c r="B63"/>
      <c r="C63"/>
      <c r="D63"/>
      <c r="E63" s="7"/>
      <c r="F63"/>
      <c r="G63"/>
      <c r="H63" s="10"/>
      <c r="I63" s="10"/>
      <c r="J63" s="10"/>
      <c r="K63" s="10"/>
      <c r="L63" s="10"/>
      <c r="M63" s="51"/>
    </row>
    <row r="64" spans="1:13" x14ac:dyDescent="0.2">
      <c r="A64"/>
      <c r="B64"/>
      <c r="C64"/>
      <c r="D64"/>
      <c r="E64" s="7"/>
      <c r="F64"/>
      <c r="G64"/>
      <c r="H64" s="10"/>
      <c r="I64" s="10"/>
      <c r="J64" s="10"/>
      <c r="K64" s="10"/>
      <c r="L64" s="10"/>
      <c r="M64" s="51"/>
    </row>
    <row r="65" spans="1:13" x14ac:dyDescent="0.2">
      <c r="A65"/>
      <c r="B65"/>
      <c r="C65"/>
      <c r="D65"/>
      <c r="E65" s="7"/>
      <c r="F65"/>
      <c r="G65"/>
      <c r="H65" s="10"/>
      <c r="I65" s="10"/>
      <c r="J65" s="10"/>
      <c r="K65" s="10"/>
      <c r="L65" s="10"/>
      <c r="M65" s="51"/>
    </row>
    <row r="66" spans="1:13" x14ac:dyDescent="0.2">
      <c r="A66"/>
      <c r="B66"/>
      <c r="C66"/>
      <c r="D66"/>
      <c r="E66" s="7"/>
      <c r="F66"/>
      <c r="G66"/>
      <c r="H66" s="10"/>
      <c r="I66" s="10"/>
      <c r="J66" s="10"/>
      <c r="K66" s="10"/>
      <c r="L66" s="10"/>
      <c r="M66" s="51"/>
    </row>
    <row r="67" spans="1:13" x14ac:dyDescent="0.2">
      <c r="A67"/>
      <c r="B67"/>
      <c r="C67"/>
      <c r="D67"/>
      <c r="E67" s="7"/>
      <c r="F67"/>
      <c r="G67"/>
      <c r="H67" s="10"/>
      <c r="I67" s="10"/>
      <c r="J67" s="10"/>
      <c r="K67" s="10"/>
      <c r="L67" s="10"/>
      <c r="M67" s="51"/>
    </row>
    <row r="68" spans="1:13" x14ac:dyDescent="0.2">
      <c r="A68"/>
      <c r="B68"/>
      <c r="C68"/>
      <c r="D68"/>
      <c r="E68" s="7"/>
      <c r="F68"/>
      <c r="G68"/>
      <c r="H68" s="10"/>
      <c r="I68" s="10"/>
      <c r="J68" s="10"/>
      <c r="K68" s="10"/>
      <c r="L68" s="10"/>
      <c r="M68" s="51"/>
    </row>
    <row r="69" spans="1:13" ht="12.75" customHeight="1" x14ac:dyDescent="0.2">
      <c r="A69"/>
      <c r="B69"/>
      <c r="C69"/>
      <c r="D69"/>
      <c r="E69" s="7"/>
      <c r="F69"/>
      <c r="G69"/>
      <c r="H69" s="10"/>
      <c r="I69" s="10"/>
      <c r="J69" s="10"/>
      <c r="K69" s="10"/>
      <c r="L69" s="10"/>
      <c r="M69" s="51"/>
    </row>
    <row r="70" spans="1:13" ht="12.75" customHeight="1" x14ac:dyDescent="0.2">
      <c r="A70"/>
      <c r="B70"/>
      <c r="C70"/>
      <c r="D70"/>
      <c r="E70" s="7"/>
      <c r="F70"/>
      <c r="G70"/>
      <c r="H70" s="10"/>
      <c r="I70" s="10"/>
      <c r="J70" s="10"/>
      <c r="K70" s="10"/>
      <c r="L70" s="10"/>
      <c r="M70" s="51"/>
    </row>
    <row r="71" spans="1:13" x14ac:dyDescent="0.2">
      <c r="A71"/>
      <c r="B71"/>
      <c r="C71"/>
      <c r="D71"/>
      <c r="E71" s="7"/>
      <c r="F71"/>
      <c r="G71"/>
      <c r="H71" s="10"/>
      <c r="I71" s="10"/>
      <c r="J71" s="10"/>
      <c r="K71" s="10"/>
      <c r="L71" s="10"/>
      <c r="M71" s="51"/>
    </row>
    <row r="72" spans="1:13" x14ac:dyDescent="0.2">
      <c r="A72"/>
      <c r="B72"/>
      <c r="C72"/>
      <c r="D72"/>
      <c r="E72" s="7"/>
      <c r="F72"/>
      <c r="G72"/>
      <c r="H72" s="10"/>
      <c r="I72" s="10"/>
      <c r="J72" s="10"/>
      <c r="K72" s="10"/>
      <c r="L72" s="10"/>
      <c r="M72" s="51"/>
    </row>
    <row r="73" spans="1:13" x14ac:dyDescent="0.2">
      <c r="A73"/>
      <c r="B73"/>
      <c r="C73"/>
      <c r="D73"/>
      <c r="E73" s="7"/>
      <c r="F73"/>
      <c r="G73"/>
      <c r="H73" s="10"/>
      <c r="I73" s="10"/>
      <c r="J73" s="10"/>
      <c r="K73" s="10"/>
      <c r="L73" s="10"/>
      <c r="M73" s="51"/>
    </row>
    <row r="74" spans="1:13" x14ac:dyDescent="0.2">
      <c r="A74"/>
      <c r="B74"/>
      <c r="C74"/>
      <c r="D74"/>
      <c r="E74" s="7"/>
      <c r="F74"/>
      <c r="G74"/>
      <c r="H74" s="10"/>
      <c r="I74" s="10"/>
      <c r="J74" s="10"/>
      <c r="K74" s="10"/>
      <c r="L74" s="10"/>
      <c r="M74" s="51"/>
    </row>
    <row r="75" spans="1:13" x14ac:dyDescent="0.2">
      <c r="A75"/>
      <c r="B75"/>
      <c r="C75"/>
      <c r="D75"/>
      <c r="E75" s="7"/>
      <c r="F75"/>
      <c r="G75"/>
      <c r="H75" s="10"/>
      <c r="I75" s="10"/>
      <c r="J75" s="10"/>
      <c r="K75" s="10"/>
      <c r="L75" s="10"/>
      <c r="M75" s="51"/>
    </row>
    <row r="76" spans="1:13" x14ac:dyDescent="0.2">
      <c r="A76"/>
      <c r="B76"/>
      <c r="C76"/>
      <c r="D76"/>
      <c r="E76" s="7"/>
      <c r="F76"/>
      <c r="G76"/>
      <c r="H76" s="10"/>
      <c r="I76" s="10"/>
      <c r="J76" s="10"/>
      <c r="K76" s="10"/>
      <c r="L76" s="10"/>
      <c r="M76" s="51"/>
    </row>
    <row r="77" spans="1:13" x14ac:dyDescent="0.2">
      <c r="A77"/>
      <c r="B77"/>
      <c r="C77"/>
      <c r="D77"/>
      <c r="E77" s="7"/>
      <c r="F77"/>
      <c r="G77"/>
      <c r="H77" s="10"/>
      <c r="I77" s="10"/>
      <c r="J77" s="10"/>
      <c r="K77" s="10"/>
      <c r="L77" s="10"/>
      <c r="M77" s="51"/>
    </row>
    <row r="78" spans="1:13" x14ac:dyDescent="0.2">
      <c r="A78"/>
      <c r="B78"/>
      <c r="C78"/>
      <c r="D78"/>
      <c r="E78" s="7"/>
      <c r="F78"/>
      <c r="G78"/>
      <c r="H78" s="10"/>
      <c r="I78" s="10"/>
      <c r="J78" s="10"/>
      <c r="K78" s="10"/>
      <c r="L78" s="10"/>
      <c r="M78" s="51"/>
    </row>
    <row r="79" spans="1:13" x14ac:dyDescent="0.2">
      <c r="A79"/>
      <c r="B79"/>
      <c r="C79"/>
      <c r="D79"/>
      <c r="E79" s="7"/>
      <c r="F79"/>
      <c r="G79"/>
      <c r="H79" s="10"/>
      <c r="I79" s="10"/>
      <c r="J79" s="10"/>
      <c r="K79" s="10"/>
      <c r="L79" s="10"/>
      <c r="M79" s="51"/>
    </row>
    <row r="80" spans="1:13" x14ac:dyDescent="0.2">
      <c r="A80"/>
      <c r="B80"/>
      <c r="C80"/>
      <c r="D80"/>
      <c r="E80" s="7"/>
      <c r="F80"/>
      <c r="G80"/>
      <c r="H80" s="10"/>
      <c r="I80" s="10"/>
      <c r="J80" s="10"/>
      <c r="K80" s="10"/>
      <c r="L80" s="10"/>
      <c r="M80" s="51"/>
    </row>
    <row r="81" spans="1:13" x14ac:dyDescent="0.2">
      <c r="A81"/>
      <c r="B81"/>
      <c r="C81"/>
      <c r="D81"/>
      <c r="E81" s="7"/>
      <c r="F81"/>
      <c r="G81"/>
      <c r="H81" s="10"/>
      <c r="I81" s="10"/>
      <c r="J81" s="10"/>
      <c r="K81" s="10"/>
      <c r="L81" s="10"/>
      <c r="M81" s="51"/>
    </row>
    <row r="82" spans="1:13" x14ac:dyDescent="0.2">
      <c r="A82"/>
      <c r="B82"/>
      <c r="C82"/>
      <c r="D82"/>
      <c r="E82" s="7"/>
      <c r="F82"/>
      <c r="G82"/>
      <c r="H82" s="10"/>
      <c r="I82" s="10"/>
      <c r="J82" s="10"/>
      <c r="K82" s="10"/>
      <c r="L82" s="10"/>
      <c r="M82" s="51"/>
    </row>
    <row r="83" spans="1:13" x14ac:dyDescent="0.2">
      <c r="A83"/>
      <c r="B83"/>
      <c r="C83"/>
      <c r="D83"/>
      <c r="E83" s="7"/>
      <c r="F83"/>
      <c r="G83"/>
      <c r="H83" s="10"/>
      <c r="I83" s="10"/>
      <c r="J83" s="10"/>
      <c r="K83" s="10"/>
      <c r="L83" s="10"/>
      <c r="M83" s="51"/>
    </row>
    <row r="84" spans="1:13" x14ac:dyDescent="0.2">
      <c r="A84"/>
      <c r="B84"/>
      <c r="C84"/>
      <c r="D84"/>
      <c r="E84" s="7"/>
      <c r="F84"/>
      <c r="G84"/>
      <c r="H84" s="10"/>
      <c r="I84" s="10"/>
      <c r="J84" s="10"/>
      <c r="K84" s="10"/>
      <c r="L84" s="10"/>
      <c r="M84" s="51"/>
    </row>
    <row r="85" spans="1:13" x14ac:dyDescent="0.2">
      <c r="A85"/>
      <c r="B85"/>
      <c r="C85"/>
      <c r="D85"/>
      <c r="E85" s="7"/>
      <c r="F85"/>
      <c r="G85"/>
      <c r="H85" s="10"/>
      <c r="I85" s="10"/>
      <c r="J85" s="10"/>
      <c r="K85" s="10"/>
      <c r="L85" s="10"/>
      <c r="M85" s="51"/>
    </row>
    <row r="86" spans="1:13" x14ac:dyDescent="0.2">
      <c r="A86"/>
      <c r="B86"/>
      <c r="C86"/>
      <c r="D86"/>
      <c r="E86" s="7"/>
      <c r="F86"/>
      <c r="G86"/>
      <c r="H86" s="10"/>
      <c r="I86" s="10"/>
      <c r="J86" s="10"/>
      <c r="K86" s="10"/>
      <c r="L86" s="10"/>
      <c r="M86" s="51"/>
    </row>
    <row r="87" spans="1:13" x14ac:dyDescent="0.2">
      <c r="A87"/>
      <c r="B87"/>
      <c r="C87"/>
      <c r="D87"/>
      <c r="E87" s="7"/>
      <c r="F87"/>
      <c r="G87"/>
      <c r="H87" s="10"/>
      <c r="I87" s="10"/>
      <c r="J87" s="10"/>
      <c r="K87" s="10"/>
      <c r="L87" s="10"/>
      <c r="M87" s="51"/>
    </row>
    <row r="88" spans="1:13" x14ac:dyDescent="0.2">
      <c r="A88"/>
      <c r="B88"/>
      <c r="C88"/>
      <c r="D88"/>
      <c r="E88" s="7"/>
      <c r="F88"/>
      <c r="G88"/>
      <c r="H88" s="10"/>
      <c r="I88" s="10"/>
      <c r="J88" s="10"/>
      <c r="K88" s="10"/>
      <c r="L88" s="10"/>
      <c r="M88" s="51"/>
    </row>
    <row r="89" spans="1:13" x14ac:dyDescent="0.2">
      <c r="A89"/>
      <c r="B89"/>
      <c r="C89"/>
      <c r="D89"/>
      <c r="E89" s="7"/>
      <c r="F89"/>
      <c r="G89"/>
      <c r="H89" s="10"/>
      <c r="I89" s="10"/>
      <c r="J89" s="10"/>
      <c r="K89" s="10"/>
      <c r="L89" s="10"/>
      <c r="M89" s="51"/>
    </row>
    <row r="90" spans="1:13" x14ac:dyDescent="0.2">
      <c r="A90"/>
      <c r="B90"/>
      <c r="C90"/>
      <c r="D90"/>
      <c r="E90" s="7"/>
      <c r="F90"/>
      <c r="G90"/>
      <c r="H90" s="10"/>
      <c r="I90" s="10"/>
      <c r="J90" s="10"/>
      <c r="K90" s="10"/>
      <c r="L90" s="10"/>
      <c r="M90" s="51"/>
    </row>
    <row r="91" spans="1:13" x14ac:dyDescent="0.2">
      <c r="A91"/>
      <c r="B91"/>
      <c r="C91"/>
      <c r="D91"/>
      <c r="E91" s="7"/>
      <c r="F91"/>
      <c r="G91"/>
      <c r="H91" s="10"/>
      <c r="I91" s="10"/>
      <c r="J91" s="10"/>
      <c r="K91" s="10"/>
      <c r="L91" s="10"/>
      <c r="M91" s="51"/>
    </row>
    <row r="92" spans="1:13" x14ac:dyDescent="0.2">
      <c r="A92"/>
      <c r="B92"/>
      <c r="C92"/>
      <c r="D92"/>
      <c r="E92" s="7"/>
      <c r="F92"/>
      <c r="G92"/>
      <c r="H92" s="10"/>
      <c r="I92" s="10"/>
      <c r="J92" s="10"/>
      <c r="K92" s="10"/>
      <c r="L92" s="10"/>
      <c r="M92" s="51"/>
    </row>
    <row r="93" spans="1:13" x14ac:dyDescent="0.2">
      <c r="A93"/>
      <c r="B93"/>
      <c r="C93"/>
      <c r="D93"/>
      <c r="E93" s="7"/>
      <c r="F93"/>
      <c r="G93"/>
      <c r="H93" s="10"/>
      <c r="I93" s="10"/>
      <c r="J93" s="10"/>
      <c r="K93" s="10"/>
      <c r="L93" s="10"/>
      <c r="M93" s="51"/>
    </row>
    <row r="94" spans="1:13" x14ac:dyDescent="0.2">
      <c r="A94"/>
      <c r="B94"/>
      <c r="C94"/>
      <c r="D94"/>
      <c r="E94" s="7"/>
      <c r="F94"/>
      <c r="G94"/>
      <c r="H94" s="10"/>
      <c r="I94" s="10"/>
      <c r="J94" s="10"/>
      <c r="K94" s="10"/>
      <c r="L94" s="10"/>
      <c r="M94" s="51"/>
    </row>
    <row r="95" spans="1:13" x14ac:dyDescent="0.2">
      <c r="A95"/>
      <c r="B95"/>
      <c r="C95"/>
      <c r="D95"/>
      <c r="E95" s="7"/>
      <c r="F95"/>
      <c r="G95"/>
      <c r="H95" s="10"/>
      <c r="I95" s="10"/>
      <c r="J95" s="10"/>
      <c r="K95" s="10"/>
      <c r="L95" s="10"/>
      <c r="M95" s="51"/>
    </row>
    <row r="96" spans="1:13" x14ac:dyDescent="0.2">
      <c r="A96"/>
      <c r="B96"/>
      <c r="C96"/>
      <c r="D96"/>
      <c r="E96" s="7"/>
      <c r="F96"/>
      <c r="G96"/>
      <c r="H96" s="10"/>
      <c r="I96" s="10"/>
      <c r="J96" s="10"/>
      <c r="K96" s="10"/>
      <c r="L96" s="10"/>
      <c r="M96" s="51"/>
    </row>
    <row r="97" spans="1:13" x14ac:dyDescent="0.2">
      <c r="A97"/>
      <c r="B97"/>
      <c r="C97"/>
      <c r="D97"/>
      <c r="E97" s="7"/>
      <c r="F97"/>
      <c r="G97"/>
      <c r="H97" s="10"/>
      <c r="I97" s="10"/>
      <c r="J97" s="10"/>
      <c r="K97" s="10"/>
      <c r="L97" s="10"/>
      <c r="M97" s="51"/>
    </row>
    <row r="98" spans="1:13" x14ac:dyDescent="0.2">
      <c r="A98"/>
      <c r="B98"/>
      <c r="C98"/>
      <c r="D98"/>
      <c r="E98" s="7"/>
      <c r="F98"/>
      <c r="G98"/>
      <c r="H98" s="10"/>
      <c r="I98" s="10"/>
      <c r="J98" s="10"/>
      <c r="K98" s="10"/>
      <c r="L98" s="10"/>
      <c r="M98" s="51"/>
    </row>
    <row r="99" spans="1:13" x14ac:dyDescent="0.2">
      <c r="A99"/>
      <c r="B99"/>
      <c r="C99"/>
      <c r="D99"/>
      <c r="E99" s="7"/>
      <c r="F99"/>
      <c r="G99"/>
      <c r="H99" s="10"/>
      <c r="I99" s="10"/>
      <c r="J99" s="10"/>
      <c r="K99" s="10"/>
      <c r="L99" s="10"/>
      <c r="M99" s="51"/>
    </row>
    <row r="100" spans="1:13" x14ac:dyDescent="0.2">
      <c r="A100"/>
      <c r="B100"/>
      <c r="C100"/>
      <c r="D100"/>
      <c r="E100" s="7"/>
      <c r="F100"/>
      <c r="G100"/>
      <c r="H100" s="10"/>
      <c r="I100" s="10"/>
      <c r="J100" s="10"/>
      <c r="K100" s="10"/>
      <c r="L100" s="10"/>
      <c r="M100" s="51"/>
    </row>
    <row r="101" spans="1:13" x14ac:dyDescent="0.2">
      <c r="A101"/>
      <c r="B101"/>
      <c r="C101"/>
      <c r="D101"/>
      <c r="E101" s="7"/>
      <c r="F101"/>
      <c r="G101"/>
      <c r="H101" s="10"/>
      <c r="I101" s="10"/>
      <c r="J101" s="10"/>
      <c r="K101" s="10"/>
      <c r="L101" s="10"/>
      <c r="M101" s="51"/>
    </row>
    <row r="102" spans="1:13" x14ac:dyDescent="0.2">
      <c r="A102"/>
      <c r="B102"/>
      <c r="C102"/>
      <c r="D102"/>
      <c r="E102" s="7"/>
      <c r="F102"/>
      <c r="G102"/>
      <c r="H102" s="10"/>
      <c r="I102" s="10"/>
      <c r="J102" s="10"/>
      <c r="K102" s="10"/>
      <c r="L102" s="10"/>
      <c r="M102" s="51"/>
    </row>
    <row r="103" spans="1:13" x14ac:dyDescent="0.2">
      <c r="A103"/>
      <c r="B103"/>
      <c r="C103"/>
      <c r="D103"/>
      <c r="E103" s="7"/>
      <c r="F103"/>
      <c r="G103"/>
      <c r="H103" s="10"/>
      <c r="I103" s="10"/>
      <c r="J103" s="10"/>
      <c r="K103" s="10"/>
      <c r="L103" s="10"/>
      <c r="M103" s="51"/>
    </row>
    <row r="104" spans="1:13" x14ac:dyDescent="0.2">
      <c r="A104"/>
      <c r="B104"/>
      <c r="C104"/>
      <c r="D104"/>
      <c r="E104" s="7"/>
      <c r="F104"/>
      <c r="G104"/>
      <c r="H104" s="10"/>
      <c r="I104" s="10"/>
      <c r="J104" s="10"/>
      <c r="K104" s="10"/>
      <c r="L104" s="10"/>
      <c r="M104" s="51"/>
    </row>
    <row r="105" spans="1:13" x14ac:dyDescent="0.2">
      <c r="A105"/>
      <c r="B105"/>
      <c r="C105"/>
      <c r="D105"/>
      <c r="E105" s="7"/>
      <c r="F105"/>
      <c r="G105"/>
      <c r="H105" s="10"/>
      <c r="I105" s="10"/>
      <c r="J105" s="10"/>
      <c r="K105" s="10"/>
      <c r="L105" s="10"/>
      <c r="M105" s="51"/>
    </row>
    <row r="106" spans="1:13" x14ac:dyDescent="0.2">
      <c r="A106"/>
      <c r="B106"/>
      <c r="C106"/>
      <c r="D106"/>
      <c r="E106" s="7"/>
      <c r="F106"/>
      <c r="G106"/>
      <c r="H106" s="10"/>
      <c r="I106" s="10"/>
      <c r="J106" s="10"/>
      <c r="K106" s="10"/>
      <c r="L106" s="10"/>
      <c r="M106" s="51"/>
    </row>
    <row r="107" spans="1:13" x14ac:dyDescent="0.2">
      <c r="A107"/>
      <c r="B107"/>
      <c r="C107"/>
      <c r="D107"/>
      <c r="E107" s="7"/>
      <c r="F107"/>
      <c r="G107"/>
      <c r="H107" s="10"/>
      <c r="I107" s="10"/>
      <c r="J107" s="10"/>
      <c r="K107" s="10"/>
      <c r="L107" s="10"/>
      <c r="M107" s="51"/>
    </row>
    <row r="108" spans="1:13" x14ac:dyDescent="0.2">
      <c r="A108"/>
      <c r="B108"/>
      <c r="C108"/>
      <c r="D108"/>
      <c r="E108" s="7"/>
      <c r="F108"/>
      <c r="G108"/>
      <c r="H108" s="10"/>
      <c r="I108" s="10"/>
      <c r="J108" s="10"/>
      <c r="K108" s="10"/>
      <c r="L108" s="10"/>
      <c r="M108" s="51"/>
    </row>
    <row r="109" spans="1:13" x14ac:dyDescent="0.2">
      <c r="A109"/>
      <c r="B109"/>
      <c r="C109"/>
      <c r="D109"/>
      <c r="E109" s="7"/>
      <c r="F109"/>
      <c r="G109"/>
      <c r="H109" s="10"/>
      <c r="I109" s="10"/>
      <c r="J109" s="10"/>
      <c r="K109" s="10"/>
      <c r="L109" s="10"/>
      <c r="M109" s="51"/>
    </row>
    <row r="110" spans="1:13" x14ac:dyDescent="0.2">
      <c r="A110"/>
      <c r="B110"/>
      <c r="C110"/>
      <c r="D110"/>
      <c r="E110" s="7"/>
      <c r="F110"/>
      <c r="G110"/>
      <c r="H110" s="10"/>
      <c r="I110" s="10"/>
      <c r="J110" s="10"/>
      <c r="K110" s="10"/>
      <c r="L110" s="10"/>
      <c r="M110" s="51"/>
    </row>
    <row r="111" spans="1:13" x14ac:dyDescent="0.2">
      <c r="A111"/>
      <c r="B111"/>
      <c r="C111"/>
      <c r="D111"/>
      <c r="E111" s="7"/>
      <c r="F111"/>
      <c r="G111"/>
      <c r="H111" s="10"/>
      <c r="I111" s="10"/>
      <c r="J111" s="10"/>
      <c r="K111" s="10"/>
      <c r="L111" s="10"/>
      <c r="M111" s="51"/>
    </row>
    <row r="112" spans="1:13" x14ac:dyDescent="0.2">
      <c r="A112"/>
      <c r="B112"/>
      <c r="C112"/>
      <c r="D112"/>
      <c r="E112" s="7"/>
      <c r="F112"/>
      <c r="G112"/>
      <c r="H112" s="10"/>
      <c r="I112" s="10"/>
      <c r="J112" s="10"/>
      <c r="K112" s="10"/>
      <c r="L112" s="10"/>
      <c r="M112" s="51"/>
    </row>
    <row r="113" spans="1:13" x14ac:dyDescent="0.2">
      <c r="A113"/>
      <c r="B113"/>
      <c r="C113"/>
      <c r="D113"/>
      <c r="E113" s="7"/>
      <c r="F113"/>
      <c r="G113"/>
      <c r="H113" s="10"/>
      <c r="I113" s="10"/>
      <c r="J113" s="10"/>
      <c r="K113" s="10"/>
      <c r="L113" s="10"/>
      <c r="M113" s="51"/>
    </row>
    <row r="114" spans="1:13" x14ac:dyDescent="0.2">
      <c r="A114"/>
      <c r="B114"/>
      <c r="C114"/>
      <c r="D114"/>
      <c r="E114" s="7"/>
      <c r="F114"/>
      <c r="G114"/>
      <c r="H114" s="10"/>
      <c r="I114" s="10"/>
      <c r="J114" s="10"/>
      <c r="K114" s="10"/>
      <c r="L114" s="10"/>
      <c r="M114" s="51"/>
    </row>
    <row r="115" spans="1:13" x14ac:dyDescent="0.2">
      <c r="A115"/>
      <c r="B115"/>
      <c r="C115"/>
      <c r="D115"/>
      <c r="E115" s="7"/>
      <c r="F115"/>
      <c r="G115"/>
      <c r="H115" s="10"/>
      <c r="I115" s="10"/>
      <c r="J115" s="10"/>
      <c r="K115" s="10"/>
      <c r="L115" s="10"/>
      <c r="M115" s="51"/>
    </row>
    <row r="116" spans="1:13" x14ac:dyDescent="0.2">
      <c r="A116"/>
      <c r="B116"/>
      <c r="C116"/>
      <c r="D116"/>
      <c r="E116" s="7"/>
      <c r="F116"/>
      <c r="G116"/>
      <c r="H116" s="10"/>
      <c r="I116" s="10"/>
      <c r="J116" s="10"/>
      <c r="K116" s="10"/>
      <c r="L116" s="10"/>
      <c r="M116" s="51"/>
    </row>
    <row r="117" spans="1:13" x14ac:dyDescent="0.2">
      <c r="A117"/>
      <c r="B117"/>
      <c r="C117"/>
      <c r="D117"/>
      <c r="E117" s="7"/>
      <c r="F117"/>
      <c r="G117"/>
      <c r="H117" s="10"/>
      <c r="I117" s="10"/>
      <c r="J117" s="10"/>
      <c r="K117" s="10"/>
      <c r="L117" s="10"/>
      <c r="M117" s="51"/>
    </row>
    <row r="118" spans="1:13" x14ac:dyDescent="0.2">
      <c r="A118"/>
      <c r="B118"/>
      <c r="C118"/>
      <c r="D118"/>
      <c r="E118" s="7"/>
      <c r="F118"/>
      <c r="G118"/>
      <c r="H118" s="10"/>
      <c r="I118" s="10"/>
      <c r="J118" s="10"/>
      <c r="K118" s="10"/>
      <c r="L118" s="10"/>
      <c r="M118" s="51"/>
    </row>
    <row r="119" spans="1:13" x14ac:dyDescent="0.2">
      <c r="A119"/>
      <c r="B119"/>
      <c r="C119"/>
      <c r="D119"/>
      <c r="E119" s="7"/>
      <c r="F119"/>
      <c r="G119"/>
      <c r="H119" s="10"/>
      <c r="I119" s="10"/>
      <c r="J119" s="10"/>
      <c r="K119" s="10"/>
      <c r="L119" s="10"/>
      <c r="M119" s="51"/>
    </row>
    <row r="120" spans="1:13" x14ac:dyDescent="0.2">
      <c r="A120"/>
      <c r="B120"/>
      <c r="C120"/>
      <c r="D120"/>
      <c r="E120" s="7"/>
      <c r="F120"/>
      <c r="G120"/>
      <c r="H120" s="10"/>
      <c r="I120" s="10"/>
      <c r="J120" s="10"/>
      <c r="K120" s="10"/>
      <c r="L120" s="10"/>
      <c r="M120" s="51"/>
    </row>
    <row r="121" spans="1:13" x14ac:dyDescent="0.2">
      <c r="A121"/>
      <c r="B121"/>
      <c r="C121"/>
      <c r="D121"/>
      <c r="E121" s="7"/>
      <c r="F121"/>
      <c r="G121"/>
      <c r="H121" s="10"/>
      <c r="I121" s="10"/>
      <c r="J121" s="10"/>
      <c r="K121" s="10"/>
      <c r="L121" s="10"/>
      <c r="M121" s="51"/>
    </row>
    <row r="122" spans="1:13" x14ac:dyDescent="0.2">
      <c r="A122"/>
      <c r="B122"/>
      <c r="C122"/>
      <c r="D122"/>
      <c r="E122" s="7"/>
      <c r="F122"/>
      <c r="G122"/>
      <c r="H122" s="10"/>
      <c r="I122" s="10"/>
      <c r="J122" s="10"/>
      <c r="K122" s="10"/>
      <c r="L122" s="10"/>
      <c r="M122" s="51"/>
    </row>
    <row r="123" spans="1:13" x14ac:dyDescent="0.2">
      <c r="A123"/>
      <c r="B123"/>
      <c r="C123"/>
      <c r="D123"/>
      <c r="E123" s="7"/>
      <c r="F123"/>
      <c r="G123"/>
      <c r="H123" s="10"/>
      <c r="I123" s="10"/>
      <c r="J123" s="10"/>
      <c r="K123" s="10"/>
      <c r="L123" s="10"/>
      <c r="M123" s="51"/>
    </row>
    <row r="124" spans="1:13" x14ac:dyDescent="0.2">
      <c r="A124"/>
      <c r="B124"/>
      <c r="C124"/>
      <c r="D124"/>
      <c r="E124" s="7"/>
      <c r="F124"/>
      <c r="G124"/>
      <c r="H124" s="10"/>
      <c r="I124" s="10"/>
      <c r="J124" s="10"/>
      <c r="K124" s="10"/>
      <c r="L124" s="10"/>
      <c r="M124" s="51"/>
    </row>
    <row r="125" spans="1:13" x14ac:dyDescent="0.2">
      <c r="A125"/>
      <c r="B125"/>
      <c r="C125"/>
      <c r="D125"/>
      <c r="E125" s="7"/>
      <c r="F125"/>
      <c r="G125"/>
      <c r="H125" s="10"/>
      <c r="I125" s="10"/>
      <c r="J125" s="10"/>
      <c r="K125" s="10"/>
      <c r="L125" s="10"/>
      <c r="M125" s="51"/>
    </row>
    <row r="126" spans="1:13" x14ac:dyDescent="0.2">
      <c r="A126"/>
      <c r="B126"/>
      <c r="C126"/>
      <c r="D126"/>
      <c r="E126" s="7"/>
      <c r="F126"/>
      <c r="G126"/>
      <c r="H126" s="10"/>
      <c r="I126" s="10"/>
      <c r="J126" s="10"/>
      <c r="K126" s="10"/>
      <c r="L126" s="10"/>
      <c r="M126" s="51"/>
    </row>
    <row r="127" spans="1:13" x14ac:dyDescent="0.2">
      <c r="A127"/>
      <c r="B127"/>
      <c r="C127"/>
      <c r="D127"/>
      <c r="E127" s="7"/>
      <c r="F127"/>
      <c r="G127"/>
      <c r="H127" s="10"/>
      <c r="I127" s="10"/>
      <c r="J127" s="10"/>
      <c r="K127" s="10"/>
      <c r="L127" s="10"/>
      <c r="M127" s="51"/>
    </row>
    <row r="128" spans="1:13" x14ac:dyDescent="0.2">
      <c r="A128"/>
      <c r="B128"/>
      <c r="C128"/>
      <c r="D128"/>
      <c r="E128" s="7"/>
      <c r="F128"/>
      <c r="G128"/>
      <c r="H128" s="10"/>
      <c r="I128" s="10"/>
      <c r="J128" s="10"/>
      <c r="K128" s="10"/>
      <c r="L128" s="10"/>
      <c r="M128" s="51"/>
    </row>
    <row r="129" spans="1:13" x14ac:dyDescent="0.2">
      <c r="A129"/>
      <c r="B129"/>
      <c r="C129"/>
      <c r="D129"/>
      <c r="E129" s="7"/>
      <c r="F129"/>
      <c r="G129"/>
      <c r="H129" s="10"/>
      <c r="I129" s="10"/>
      <c r="J129" s="10"/>
      <c r="K129" s="10"/>
      <c r="L129" s="10"/>
      <c r="M129" s="51"/>
    </row>
    <row r="130" spans="1:13" x14ac:dyDescent="0.2">
      <c r="A130"/>
      <c r="B130"/>
      <c r="C130"/>
      <c r="D130"/>
      <c r="E130" s="7"/>
      <c r="F130"/>
      <c r="G130"/>
      <c r="H130" s="10"/>
      <c r="I130" s="10"/>
      <c r="J130" s="10"/>
      <c r="K130" s="10"/>
      <c r="L130" s="10"/>
      <c r="M130" s="51"/>
    </row>
    <row r="131" spans="1:13" x14ac:dyDescent="0.2">
      <c r="A131"/>
      <c r="B131"/>
      <c r="C131"/>
      <c r="D131"/>
      <c r="E131" s="7"/>
      <c r="F131"/>
      <c r="G131"/>
      <c r="H131" s="10"/>
      <c r="I131" s="10"/>
      <c r="J131" s="10"/>
      <c r="K131" s="10"/>
      <c r="L131" s="10"/>
      <c r="M131" s="51"/>
    </row>
    <row r="132" spans="1:13" x14ac:dyDescent="0.2">
      <c r="A132"/>
      <c r="B132"/>
      <c r="C132"/>
      <c r="D132"/>
      <c r="E132" s="7"/>
      <c r="F132"/>
      <c r="G132"/>
      <c r="H132" s="10"/>
      <c r="I132" s="10"/>
      <c r="J132" s="10"/>
      <c r="K132" s="10"/>
      <c r="L132" s="10"/>
      <c r="M132" s="51"/>
    </row>
    <row r="133" spans="1:13" x14ac:dyDescent="0.2">
      <c r="A133"/>
      <c r="B133"/>
      <c r="C133"/>
      <c r="D133"/>
      <c r="E133" s="7"/>
      <c r="F133"/>
      <c r="G133"/>
      <c r="H133" s="10"/>
      <c r="I133" s="10"/>
      <c r="J133" s="10"/>
      <c r="K133" s="10"/>
      <c r="L133" s="10"/>
      <c r="M133" s="51"/>
    </row>
    <row r="134" spans="1:13" x14ac:dyDescent="0.2">
      <c r="A134"/>
      <c r="B134"/>
      <c r="C134"/>
      <c r="D134"/>
      <c r="E134" s="7"/>
      <c r="F134"/>
      <c r="G134"/>
      <c r="H134" s="10"/>
      <c r="I134" s="10"/>
      <c r="J134" s="10"/>
      <c r="K134" s="10"/>
      <c r="L134" s="10"/>
      <c r="M134" s="51"/>
    </row>
    <row r="135" spans="1:13" x14ac:dyDescent="0.2">
      <c r="A135"/>
      <c r="B135"/>
      <c r="C135"/>
      <c r="D135"/>
      <c r="E135" s="7"/>
      <c r="F135"/>
      <c r="G135"/>
      <c r="H135" s="10"/>
      <c r="I135" s="10"/>
      <c r="J135" s="10"/>
      <c r="K135" s="10"/>
      <c r="L135" s="10"/>
      <c r="M135" s="51"/>
    </row>
    <row r="136" spans="1:13" x14ac:dyDescent="0.2">
      <c r="A136"/>
      <c r="B136"/>
      <c r="C136"/>
      <c r="D136"/>
      <c r="E136" s="7"/>
      <c r="F136"/>
      <c r="G136"/>
      <c r="H136" s="10"/>
      <c r="I136" s="10"/>
      <c r="J136" s="10"/>
      <c r="K136" s="10"/>
      <c r="L136" s="10"/>
      <c r="M136" s="51"/>
    </row>
    <row r="137" spans="1:13" x14ac:dyDescent="0.2">
      <c r="A137"/>
      <c r="B137"/>
      <c r="C137"/>
      <c r="D137"/>
      <c r="E137" s="7"/>
      <c r="F137"/>
      <c r="G137"/>
      <c r="H137" s="10"/>
      <c r="I137" s="10"/>
      <c r="J137" s="10"/>
      <c r="K137" s="10"/>
      <c r="L137" s="10"/>
      <c r="M137" s="51"/>
    </row>
    <row r="138" spans="1:13" x14ac:dyDescent="0.2">
      <c r="A138"/>
      <c r="B138"/>
      <c r="C138"/>
      <c r="D138"/>
      <c r="E138" s="7"/>
      <c r="F138"/>
      <c r="G138"/>
      <c r="H138" s="10"/>
      <c r="I138" s="10"/>
      <c r="J138" s="10"/>
      <c r="K138" s="10"/>
      <c r="L138" s="10"/>
      <c r="M138" s="51"/>
    </row>
    <row r="139" spans="1:13" x14ac:dyDescent="0.2">
      <c r="A139"/>
      <c r="B139"/>
      <c r="C139"/>
      <c r="D139"/>
      <c r="E139" s="7"/>
      <c r="F139"/>
      <c r="G139"/>
      <c r="H139" s="10"/>
      <c r="I139" s="10"/>
      <c r="J139" s="10"/>
      <c r="K139" s="10"/>
      <c r="L139" s="10"/>
      <c r="M139" s="51"/>
    </row>
    <row r="140" spans="1:13" x14ac:dyDescent="0.2">
      <c r="A140"/>
      <c r="B140"/>
      <c r="C140"/>
      <c r="D140"/>
      <c r="E140" s="7"/>
      <c r="F140"/>
      <c r="G140"/>
      <c r="H140" s="10"/>
      <c r="I140" s="10"/>
      <c r="J140" s="10"/>
      <c r="K140" s="10"/>
      <c r="L140" s="10"/>
      <c r="M140" s="51"/>
    </row>
    <row r="141" spans="1:13" x14ac:dyDescent="0.2">
      <c r="A141"/>
      <c r="B141"/>
      <c r="C141"/>
      <c r="D141"/>
      <c r="E141" s="7"/>
      <c r="F141"/>
      <c r="G141"/>
      <c r="H141" s="10"/>
      <c r="I141" s="10"/>
      <c r="J141" s="10"/>
      <c r="K141" s="10"/>
      <c r="L141" s="10"/>
      <c r="M141" s="51"/>
    </row>
    <row r="142" spans="1:13" x14ac:dyDescent="0.2">
      <c r="A142"/>
      <c r="B142"/>
      <c r="C142"/>
      <c r="D142"/>
      <c r="E142" s="7"/>
      <c r="F142"/>
      <c r="G142"/>
      <c r="H142" s="10"/>
      <c r="I142" s="10"/>
      <c r="J142" s="10"/>
      <c r="K142" s="10"/>
      <c r="L142" s="10"/>
      <c r="M142" s="51"/>
    </row>
    <row r="143" spans="1:13" x14ac:dyDescent="0.2">
      <c r="A143"/>
      <c r="B143"/>
      <c r="C143"/>
      <c r="D143"/>
      <c r="E143" s="7"/>
      <c r="F143"/>
      <c r="G143"/>
      <c r="H143" s="10"/>
      <c r="I143" s="10"/>
      <c r="J143" s="10"/>
      <c r="K143" s="10"/>
      <c r="L143" s="10"/>
      <c r="M143" s="51"/>
    </row>
    <row r="144" spans="1:13" x14ac:dyDescent="0.2">
      <c r="A144"/>
      <c r="B144"/>
      <c r="C144"/>
      <c r="D144"/>
      <c r="E144" s="7"/>
      <c r="F144"/>
      <c r="G144"/>
      <c r="H144" s="10"/>
      <c r="I144" s="10"/>
      <c r="J144" s="10"/>
      <c r="K144" s="10"/>
      <c r="L144" s="10"/>
      <c r="M144" s="51"/>
    </row>
    <row r="145" spans="1:13" x14ac:dyDescent="0.2">
      <c r="A145"/>
      <c r="B145"/>
      <c r="C145"/>
      <c r="D145"/>
      <c r="E145" s="7"/>
      <c r="F145"/>
      <c r="G145"/>
      <c r="H145" s="10"/>
      <c r="I145" s="10"/>
      <c r="J145" s="10"/>
      <c r="K145" s="10"/>
      <c r="L145" s="10"/>
      <c r="M145" s="51"/>
    </row>
    <row r="146" spans="1:13" x14ac:dyDescent="0.2">
      <c r="A146"/>
      <c r="B146"/>
      <c r="C146"/>
      <c r="D146"/>
      <c r="E146" s="7"/>
      <c r="F146"/>
      <c r="G146"/>
      <c r="H146" s="10"/>
      <c r="I146" s="10"/>
      <c r="J146" s="10"/>
      <c r="K146" s="10"/>
      <c r="L146" s="10"/>
      <c r="M146" s="51"/>
    </row>
    <row r="147" spans="1:13" x14ac:dyDescent="0.2">
      <c r="A147"/>
      <c r="B147"/>
      <c r="C147"/>
      <c r="D147"/>
      <c r="E147" s="7"/>
      <c r="F147"/>
      <c r="G147"/>
      <c r="H147" s="10"/>
      <c r="I147" s="10"/>
      <c r="J147" s="10"/>
      <c r="K147" s="10"/>
      <c r="L147" s="10"/>
      <c r="M147" s="51"/>
    </row>
    <row r="148" spans="1:13" x14ac:dyDescent="0.2">
      <c r="A148"/>
      <c r="B148"/>
      <c r="C148"/>
      <c r="D148"/>
      <c r="E148" s="7"/>
      <c r="F148"/>
      <c r="G148"/>
      <c r="H148" s="10"/>
      <c r="I148" s="10"/>
      <c r="J148" s="10"/>
      <c r="K148" s="10"/>
      <c r="L148" s="10"/>
      <c r="M148" s="51"/>
    </row>
    <row r="149" spans="1:13" x14ac:dyDescent="0.2">
      <c r="A149"/>
      <c r="B149"/>
      <c r="C149"/>
      <c r="D149"/>
      <c r="E149" s="7"/>
      <c r="F149"/>
      <c r="G149"/>
      <c r="H149" s="10"/>
      <c r="I149" s="10"/>
      <c r="J149" s="10"/>
      <c r="K149" s="10"/>
      <c r="L149" s="10"/>
      <c r="M149" s="51"/>
    </row>
    <row r="150" spans="1:13" x14ac:dyDescent="0.2">
      <c r="A150"/>
      <c r="B150"/>
      <c r="C150"/>
      <c r="D150"/>
      <c r="E150" s="7"/>
      <c r="F150"/>
      <c r="G150"/>
      <c r="H150" s="10"/>
      <c r="I150" s="10"/>
      <c r="J150" s="10"/>
      <c r="K150" s="10"/>
      <c r="L150" s="10"/>
      <c r="M150" s="51"/>
    </row>
    <row r="151" spans="1:13" x14ac:dyDescent="0.2">
      <c r="A151"/>
      <c r="B151"/>
      <c r="C151"/>
      <c r="D151"/>
      <c r="E151" s="7"/>
      <c r="F151"/>
      <c r="G151"/>
      <c r="H151" s="10"/>
      <c r="I151" s="10"/>
      <c r="J151" s="10"/>
      <c r="K151" s="10"/>
      <c r="L151" s="10"/>
      <c r="M151" s="51"/>
    </row>
    <row r="152" spans="1:13" x14ac:dyDescent="0.2">
      <c r="A152"/>
      <c r="B152"/>
      <c r="C152"/>
      <c r="D152"/>
      <c r="E152" s="7"/>
      <c r="F152"/>
      <c r="G152"/>
      <c r="H152" s="10"/>
      <c r="I152" s="10"/>
      <c r="J152" s="10"/>
      <c r="K152" s="10"/>
      <c r="L152" s="10"/>
      <c r="M152" s="51"/>
    </row>
    <row r="153" spans="1:13" x14ac:dyDescent="0.2">
      <c r="A153"/>
      <c r="B153"/>
      <c r="C153"/>
      <c r="D153"/>
      <c r="E153" s="7"/>
      <c r="F153"/>
      <c r="G153"/>
      <c r="H153" s="10"/>
      <c r="I153" s="10"/>
      <c r="J153" s="10"/>
      <c r="K153" s="10"/>
      <c r="L153" s="10"/>
      <c r="M153" s="51"/>
    </row>
    <row r="154" spans="1:13" x14ac:dyDescent="0.2">
      <c r="A154"/>
      <c r="B154"/>
      <c r="C154"/>
      <c r="D154"/>
      <c r="E154" s="7"/>
      <c r="F154"/>
      <c r="G154"/>
      <c r="H154" s="10"/>
      <c r="I154" s="10"/>
      <c r="J154" s="10"/>
      <c r="K154" s="10"/>
      <c r="L154" s="10"/>
      <c r="M154" s="51"/>
    </row>
    <row r="155" spans="1:13" x14ac:dyDescent="0.2">
      <c r="A155"/>
      <c r="B155"/>
      <c r="C155"/>
      <c r="D155"/>
      <c r="E155" s="7"/>
      <c r="F155"/>
      <c r="G155"/>
      <c r="H155" s="10"/>
      <c r="I155" s="10"/>
      <c r="J155" s="10"/>
      <c r="K155" s="10"/>
      <c r="L155" s="10"/>
      <c r="M155" s="51"/>
    </row>
    <row r="156" spans="1:13" x14ac:dyDescent="0.2">
      <c r="A156"/>
      <c r="B156"/>
      <c r="C156"/>
      <c r="D156"/>
      <c r="E156" s="7"/>
      <c r="F156"/>
      <c r="G156"/>
      <c r="H156" s="10"/>
      <c r="I156" s="10"/>
      <c r="J156" s="10"/>
      <c r="K156" s="10"/>
      <c r="L156" s="10"/>
      <c r="M156" s="51"/>
    </row>
    <row r="157" spans="1:13" x14ac:dyDescent="0.2">
      <c r="A157"/>
      <c r="B157"/>
      <c r="C157"/>
      <c r="D157"/>
      <c r="E157" s="7"/>
      <c r="F157"/>
      <c r="G157"/>
      <c r="H157" s="10"/>
      <c r="I157" s="10"/>
      <c r="J157" s="10"/>
      <c r="K157" s="10"/>
      <c r="L157" s="10"/>
      <c r="M157" s="51"/>
    </row>
    <row r="158" spans="1:13" x14ac:dyDescent="0.2">
      <c r="A158"/>
      <c r="B158"/>
      <c r="C158"/>
      <c r="D158"/>
      <c r="E158" s="7"/>
      <c r="F158"/>
      <c r="G158"/>
      <c r="H158" s="10"/>
      <c r="I158" s="10"/>
      <c r="J158" s="10"/>
      <c r="K158" s="10"/>
      <c r="L158" s="10"/>
      <c r="M158" s="51"/>
    </row>
    <row r="159" spans="1:13" x14ac:dyDescent="0.2">
      <c r="A159"/>
      <c r="B159"/>
      <c r="C159"/>
      <c r="D159"/>
      <c r="E159" s="7"/>
      <c r="F159"/>
      <c r="G159"/>
      <c r="H159" s="10"/>
      <c r="I159" s="10"/>
      <c r="J159" s="10"/>
      <c r="K159" s="10"/>
      <c r="L159" s="10"/>
      <c r="M159" s="51"/>
    </row>
    <row r="160" spans="1:13" x14ac:dyDescent="0.2">
      <c r="A160"/>
      <c r="B160"/>
      <c r="C160"/>
      <c r="D160"/>
      <c r="E160" s="7"/>
      <c r="F160"/>
      <c r="G160"/>
      <c r="H160" s="10"/>
      <c r="I160" s="10"/>
      <c r="J160" s="10"/>
      <c r="K160" s="10"/>
      <c r="L160" s="10"/>
      <c r="M160" s="51"/>
    </row>
    <row r="161" spans="1:13" x14ac:dyDescent="0.2">
      <c r="A161"/>
      <c r="B161"/>
      <c r="C161"/>
      <c r="D161"/>
      <c r="E161" s="7"/>
      <c r="F161"/>
      <c r="G161"/>
      <c r="H161" s="10"/>
      <c r="I161" s="10"/>
      <c r="J161" s="10"/>
      <c r="K161" s="10"/>
      <c r="L161" s="10"/>
      <c r="M161" s="51"/>
    </row>
    <row r="162" spans="1:13" x14ac:dyDescent="0.2">
      <c r="A162"/>
      <c r="B162"/>
      <c r="C162"/>
      <c r="D162"/>
      <c r="E162" s="7"/>
      <c r="F162"/>
      <c r="G162"/>
      <c r="H162" s="10"/>
      <c r="I162" s="10"/>
      <c r="J162" s="10"/>
      <c r="K162" s="10"/>
      <c r="L162" s="10"/>
      <c r="M162" s="51"/>
    </row>
    <row r="163" spans="1:13" x14ac:dyDescent="0.2">
      <c r="A163"/>
      <c r="B163"/>
      <c r="C163"/>
      <c r="D163"/>
      <c r="E163" s="7"/>
      <c r="F163"/>
      <c r="G163"/>
      <c r="H163" s="10"/>
      <c r="I163" s="10"/>
      <c r="J163" s="10"/>
      <c r="K163" s="10"/>
      <c r="L163" s="10"/>
      <c r="M163" s="51"/>
    </row>
    <row r="164" spans="1:13" x14ac:dyDescent="0.2">
      <c r="A164"/>
      <c r="B164"/>
      <c r="C164"/>
      <c r="D164"/>
      <c r="E164" s="7"/>
      <c r="F164"/>
      <c r="G164"/>
      <c r="H164" s="10"/>
      <c r="I164" s="10"/>
      <c r="J164" s="10"/>
      <c r="K164" s="10"/>
      <c r="L164" s="10"/>
      <c r="M164" s="51"/>
    </row>
    <row r="165" spans="1:13" x14ac:dyDescent="0.2">
      <c r="A165"/>
      <c r="B165"/>
      <c r="C165"/>
      <c r="D165"/>
      <c r="E165" s="7"/>
      <c r="F165"/>
      <c r="G165"/>
      <c r="H165" s="10"/>
      <c r="I165" s="10"/>
      <c r="J165" s="10"/>
      <c r="K165" s="10"/>
      <c r="L165" s="10"/>
      <c r="M165" s="51"/>
    </row>
    <row r="166" spans="1:13" x14ac:dyDescent="0.2">
      <c r="A166"/>
      <c r="B166"/>
      <c r="C166"/>
      <c r="D166"/>
      <c r="E166" s="7"/>
      <c r="F166"/>
      <c r="G166"/>
      <c r="H166" s="10"/>
      <c r="I166" s="10"/>
      <c r="J166" s="10"/>
      <c r="K166" s="10"/>
      <c r="L166" s="10"/>
      <c r="M166" s="51"/>
    </row>
    <row r="167" spans="1:13" x14ac:dyDescent="0.2">
      <c r="A167"/>
      <c r="B167"/>
      <c r="C167"/>
      <c r="D167"/>
      <c r="E167" s="7"/>
      <c r="F167"/>
      <c r="G167"/>
      <c r="H167" s="10"/>
      <c r="I167" s="10"/>
      <c r="J167" s="10"/>
      <c r="K167" s="10"/>
      <c r="L167" s="10"/>
      <c r="M167" s="51"/>
    </row>
    <row r="168" spans="1:13" x14ac:dyDescent="0.2">
      <c r="A168"/>
      <c r="B168"/>
      <c r="C168"/>
      <c r="D168"/>
      <c r="E168" s="7"/>
      <c r="F168"/>
      <c r="G168"/>
      <c r="H168" s="10"/>
      <c r="I168" s="10"/>
      <c r="J168" s="10"/>
      <c r="K168" s="10"/>
      <c r="L168" s="10"/>
      <c r="M168" s="51"/>
    </row>
    <row r="169" spans="1:13" x14ac:dyDescent="0.2">
      <c r="A169"/>
      <c r="B169"/>
      <c r="C169"/>
      <c r="D169"/>
      <c r="E169" s="7"/>
      <c r="F169"/>
      <c r="G169"/>
      <c r="H169" s="10"/>
      <c r="I169" s="10"/>
      <c r="J169" s="10"/>
      <c r="K169" s="10"/>
      <c r="L169" s="10"/>
      <c r="M169" s="51"/>
    </row>
    <row r="170" spans="1:13" x14ac:dyDescent="0.2">
      <c r="A170"/>
      <c r="B170"/>
      <c r="C170"/>
      <c r="D170"/>
      <c r="E170" s="7"/>
      <c r="F170"/>
      <c r="G170"/>
      <c r="H170" s="10"/>
      <c r="I170" s="10"/>
      <c r="J170" s="10"/>
      <c r="K170" s="10"/>
      <c r="L170" s="10"/>
      <c r="M170" s="51"/>
    </row>
    <row r="171" spans="1:13" x14ac:dyDescent="0.2">
      <c r="A171"/>
      <c r="B171"/>
      <c r="C171"/>
      <c r="D171"/>
      <c r="E171" s="7"/>
      <c r="F171"/>
      <c r="G171"/>
      <c r="H171" s="10"/>
      <c r="I171" s="10"/>
      <c r="J171" s="10"/>
      <c r="K171" s="10"/>
      <c r="L171" s="10"/>
      <c r="M171" s="51"/>
    </row>
    <row r="172" spans="1:13" x14ac:dyDescent="0.2">
      <c r="A172"/>
      <c r="B172"/>
      <c r="C172"/>
      <c r="D172"/>
      <c r="E172" s="7"/>
      <c r="F172"/>
      <c r="G172"/>
      <c r="H172" s="10"/>
      <c r="I172" s="10"/>
      <c r="J172" s="10"/>
      <c r="K172" s="10"/>
      <c r="L172" s="10"/>
      <c r="M172" s="51"/>
    </row>
    <row r="173" spans="1:13" x14ac:dyDescent="0.2">
      <c r="A173"/>
      <c r="B173"/>
      <c r="C173"/>
      <c r="D173"/>
      <c r="E173" s="7"/>
      <c r="F173"/>
      <c r="G173"/>
      <c r="H173" s="10"/>
      <c r="I173" s="10"/>
      <c r="J173" s="10"/>
      <c r="K173" s="10"/>
      <c r="L173" s="10"/>
      <c r="M173" s="51"/>
    </row>
    <row r="174" spans="1:13" x14ac:dyDescent="0.2">
      <c r="A174"/>
      <c r="B174"/>
      <c r="C174"/>
      <c r="D174"/>
      <c r="E174" s="7"/>
      <c r="F174"/>
      <c r="G174"/>
      <c r="H174" s="10"/>
      <c r="I174" s="10"/>
      <c r="J174" s="10"/>
      <c r="K174" s="10"/>
      <c r="L174" s="10"/>
      <c r="M174" s="51"/>
    </row>
    <row r="175" spans="1:13" x14ac:dyDescent="0.2">
      <c r="A175"/>
      <c r="B175"/>
      <c r="C175"/>
      <c r="D175"/>
      <c r="E175" s="7"/>
      <c r="F175"/>
      <c r="G175"/>
      <c r="H175" s="10"/>
      <c r="I175" s="10"/>
      <c r="J175" s="10"/>
      <c r="K175" s="10"/>
      <c r="L175" s="10"/>
      <c r="M175" s="51"/>
    </row>
    <row r="176" spans="1:13" x14ac:dyDescent="0.2">
      <c r="A176"/>
      <c r="B176"/>
      <c r="C176"/>
      <c r="D176"/>
      <c r="E176" s="7"/>
      <c r="F176"/>
      <c r="G176"/>
      <c r="H176" s="10"/>
      <c r="I176" s="10"/>
      <c r="J176" s="10"/>
      <c r="K176" s="10"/>
      <c r="L176" s="10"/>
      <c r="M176" s="51"/>
    </row>
    <row r="177" spans="1:13" x14ac:dyDescent="0.2">
      <c r="A177"/>
      <c r="B177"/>
      <c r="C177"/>
      <c r="D177"/>
      <c r="E177" s="7"/>
      <c r="F177"/>
      <c r="G177"/>
      <c r="H177" s="10"/>
      <c r="I177" s="10"/>
      <c r="J177" s="10"/>
      <c r="K177" s="10"/>
      <c r="L177" s="10"/>
      <c r="M177" s="51"/>
    </row>
    <row r="178" spans="1:13" x14ac:dyDescent="0.2">
      <c r="A178"/>
      <c r="B178"/>
      <c r="C178"/>
      <c r="D178"/>
      <c r="E178" s="7"/>
      <c r="F178"/>
      <c r="G178"/>
      <c r="H178" s="10"/>
      <c r="I178" s="10"/>
      <c r="J178" s="10"/>
      <c r="K178" s="10"/>
      <c r="L178" s="10"/>
      <c r="M178" s="51"/>
    </row>
    <row r="179" spans="1:13" x14ac:dyDescent="0.2">
      <c r="A179"/>
      <c r="B179"/>
      <c r="C179"/>
      <c r="D179"/>
      <c r="E179" s="7"/>
      <c r="F179"/>
      <c r="G179"/>
      <c r="H179" s="10"/>
      <c r="I179" s="10"/>
      <c r="J179" s="10"/>
      <c r="K179" s="10"/>
      <c r="L179" s="10"/>
      <c r="M179" s="51"/>
    </row>
    <row r="180" spans="1:13" x14ac:dyDescent="0.2">
      <c r="A180"/>
      <c r="B180"/>
      <c r="C180"/>
      <c r="D180"/>
      <c r="E180" s="7"/>
      <c r="F180"/>
      <c r="G180"/>
      <c r="H180" s="10"/>
      <c r="I180" s="10"/>
      <c r="J180" s="10"/>
      <c r="K180" s="10"/>
      <c r="L180" s="10"/>
      <c r="M180" s="51"/>
    </row>
    <row r="181" spans="1:13" x14ac:dyDescent="0.2">
      <c r="A181"/>
      <c r="B181"/>
      <c r="C181"/>
      <c r="D181"/>
      <c r="E181" s="7"/>
      <c r="F181"/>
      <c r="G181"/>
      <c r="H181" s="10"/>
      <c r="I181" s="10"/>
      <c r="J181" s="10"/>
      <c r="K181" s="10"/>
      <c r="L181" s="10"/>
      <c r="M181" s="51"/>
    </row>
    <row r="182" spans="1:13" x14ac:dyDescent="0.2">
      <c r="A182"/>
      <c r="B182"/>
      <c r="C182"/>
      <c r="D182"/>
      <c r="E182" s="7"/>
      <c r="F182"/>
      <c r="G182"/>
      <c r="H182" s="10"/>
      <c r="I182" s="10"/>
      <c r="J182" s="10"/>
      <c r="K182" s="10"/>
      <c r="L182" s="10"/>
      <c r="M182" s="51"/>
    </row>
    <row r="183" spans="1:13" x14ac:dyDescent="0.2">
      <c r="A183"/>
      <c r="B183"/>
      <c r="C183"/>
      <c r="D183"/>
      <c r="E183" s="7"/>
      <c r="F183"/>
      <c r="G183"/>
      <c r="H183" s="10"/>
      <c r="I183" s="10"/>
      <c r="J183" s="10"/>
      <c r="K183" s="10"/>
      <c r="L183" s="10"/>
      <c r="M183" s="51"/>
    </row>
    <row r="184" spans="1:13" x14ac:dyDescent="0.2">
      <c r="A184"/>
      <c r="B184"/>
      <c r="C184"/>
      <c r="D184"/>
      <c r="E184" s="7"/>
      <c r="F184"/>
      <c r="G184"/>
      <c r="H184" s="10"/>
      <c r="I184" s="10"/>
      <c r="J184" s="10"/>
      <c r="K184" s="10"/>
      <c r="L184" s="10"/>
      <c r="M184" s="51"/>
    </row>
    <row r="185" spans="1:13" x14ac:dyDescent="0.2">
      <c r="A185"/>
      <c r="B185"/>
      <c r="C185"/>
      <c r="D185"/>
      <c r="E185" s="7"/>
      <c r="F185"/>
      <c r="G185"/>
      <c r="H185" s="10"/>
      <c r="I185" s="10"/>
      <c r="J185" s="10"/>
      <c r="K185" s="10"/>
      <c r="L185" s="10"/>
      <c r="M185" s="51"/>
    </row>
    <row r="186" spans="1:13" x14ac:dyDescent="0.2">
      <c r="A186"/>
      <c r="B186"/>
      <c r="C186"/>
      <c r="D186"/>
      <c r="E186" s="7"/>
      <c r="F186"/>
      <c r="G186"/>
      <c r="H186" s="10"/>
      <c r="I186" s="10"/>
      <c r="J186" s="10"/>
      <c r="K186" s="10"/>
      <c r="L186" s="10"/>
      <c r="M186" s="51"/>
    </row>
    <row r="187" spans="1:13" x14ac:dyDescent="0.2">
      <c r="A187"/>
      <c r="B187"/>
      <c r="C187"/>
      <c r="D187"/>
      <c r="E187" s="7"/>
      <c r="F187"/>
      <c r="G187"/>
      <c r="H187" s="10"/>
      <c r="I187" s="10"/>
      <c r="J187" s="10"/>
      <c r="K187" s="10"/>
      <c r="L187" s="10"/>
      <c r="M187" s="51"/>
    </row>
    <row r="188" spans="1:13" x14ac:dyDescent="0.2">
      <c r="A188"/>
      <c r="B188"/>
      <c r="C188"/>
      <c r="D188"/>
      <c r="E188" s="7"/>
      <c r="F188"/>
      <c r="G188"/>
      <c r="H188" s="10"/>
      <c r="I188" s="10"/>
      <c r="J188" s="10"/>
      <c r="K188" s="10"/>
      <c r="L188" s="10"/>
      <c r="M188" s="51"/>
    </row>
    <row r="189" spans="1:13" x14ac:dyDescent="0.2">
      <c r="A189"/>
      <c r="B189"/>
      <c r="C189"/>
      <c r="D189"/>
      <c r="E189" s="7"/>
      <c r="F189"/>
      <c r="G189"/>
      <c r="H189" s="10"/>
      <c r="I189" s="10"/>
      <c r="J189" s="10"/>
      <c r="K189" s="10"/>
      <c r="L189" s="10"/>
      <c r="M189" s="51"/>
    </row>
    <row r="190" spans="1:13" x14ac:dyDescent="0.2">
      <c r="A190"/>
      <c r="B190"/>
      <c r="C190"/>
      <c r="D190"/>
      <c r="E190" s="7"/>
      <c r="F190"/>
      <c r="G190"/>
      <c r="H190" s="10"/>
      <c r="I190" s="10"/>
      <c r="J190" s="10"/>
      <c r="K190" s="10"/>
      <c r="L190" s="10"/>
      <c r="M190" s="51"/>
    </row>
    <row r="191" spans="1:13" x14ac:dyDescent="0.2">
      <c r="A191"/>
      <c r="B191"/>
      <c r="C191"/>
      <c r="D191"/>
      <c r="E191" s="7"/>
      <c r="F191"/>
      <c r="G191"/>
      <c r="H191" s="10"/>
      <c r="I191" s="10"/>
      <c r="J191" s="10"/>
      <c r="K191" s="10"/>
      <c r="L191" s="10"/>
      <c r="M191" s="51"/>
    </row>
    <row r="192" spans="1:13" x14ac:dyDescent="0.2">
      <c r="A192"/>
      <c r="B192"/>
      <c r="C192"/>
      <c r="D192"/>
      <c r="E192" s="7"/>
      <c r="F192"/>
      <c r="G192"/>
      <c r="H192" s="10"/>
      <c r="I192" s="10"/>
      <c r="J192" s="10"/>
      <c r="K192" s="10"/>
      <c r="L192" s="10"/>
      <c r="M192" s="51"/>
    </row>
    <row r="193" spans="1:13" x14ac:dyDescent="0.2">
      <c r="A193"/>
      <c r="B193"/>
      <c r="C193"/>
      <c r="D193"/>
      <c r="E193" s="7"/>
      <c r="F193"/>
      <c r="G193"/>
      <c r="H193" s="10"/>
      <c r="I193" s="10"/>
      <c r="J193" s="10"/>
      <c r="K193" s="10"/>
      <c r="L193" s="10"/>
      <c r="M193" s="51"/>
    </row>
    <row r="194" spans="1:13" x14ac:dyDescent="0.2">
      <c r="A194"/>
      <c r="B194"/>
      <c r="C194"/>
      <c r="D194"/>
      <c r="E194" s="7"/>
      <c r="F194"/>
      <c r="G194"/>
      <c r="H194" s="10"/>
      <c r="I194" s="10"/>
      <c r="J194" s="10"/>
      <c r="K194" s="10"/>
      <c r="L194" s="10"/>
      <c r="M194" s="51"/>
    </row>
    <row r="195" spans="1:13" x14ac:dyDescent="0.2">
      <c r="A195"/>
      <c r="B195"/>
      <c r="C195"/>
      <c r="D195"/>
      <c r="E195" s="7"/>
      <c r="F195"/>
      <c r="G195"/>
      <c r="H195" s="10"/>
      <c r="I195" s="10"/>
      <c r="J195" s="10"/>
      <c r="K195" s="10"/>
      <c r="L195" s="10"/>
      <c r="M195" s="51"/>
    </row>
    <row r="196" spans="1:13" x14ac:dyDescent="0.2">
      <c r="A196"/>
      <c r="B196"/>
      <c r="C196"/>
      <c r="D196"/>
      <c r="E196" s="7"/>
      <c r="F196"/>
      <c r="G196"/>
      <c r="H196" s="10"/>
      <c r="I196" s="10"/>
      <c r="J196" s="10"/>
      <c r="K196" s="10"/>
      <c r="L196" s="10"/>
      <c r="M196" s="51"/>
    </row>
    <row r="197" spans="1:13" x14ac:dyDescent="0.2">
      <c r="A197"/>
      <c r="B197"/>
      <c r="C197"/>
      <c r="D197"/>
      <c r="E197" s="7"/>
      <c r="F197"/>
      <c r="G197"/>
      <c r="H197" s="10"/>
      <c r="I197" s="10"/>
      <c r="J197" s="10"/>
      <c r="K197" s="10"/>
      <c r="L197" s="10"/>
      <c r="M197" s="51"/>
    </row>
    <row r="198" spans="1:13" x14ac:dyDescent="0.2">
      <c r="A198"/>
      <c r="B198"/>
      <c r="C198"/>
      <c r="D198"/>
      <c r="E198" s="7"/>
      <c r="F198"/>
      <c r="G198"/>
      <c r="H198" s="10"/>
      <c r="I198" s="10"/>
      <c r="J198" s="10"/>
      <c r="K198" s="10"/>
      <c r="L198" s="10"/>
      <c r="M198" s="51"/>
    </row>
    <row r="199" spans="1:13" x14ac:dyDescent="0.2">
      <c r="A199"/>
      <c r="B199"/>
      <c r="C199"/>
      <c r="D199"/>
      <c r="E199" s="7"/>
      <c r="F199"/>
      <c r="G199"/>
      <c r="H199" s="10"/>
      <c r="I199" s="10"/>
      <c r="J199" s="10"/>
      <c r="K199" s="10"/>
      <c r="L199" s="10"/>
      <c r="M199" s="51"/>
    </row>
    <row r="200" spans="1:13" x14ac:dyDescent="0.2">
      <c r="A200"/>
      <c r="B200"/>
      <c r="C200"/>
      <c r="D200"/>
      <c r="E200" s="7"/>
      <c r="F200"/>
      <c r="G200"/>
      <c r="H200" s="10"/>
      <c r="I200" s="10"/>
      <c r="J200" s="10"/>
      <c r="K200" s="10"/>
      <c r="L200" s="10"/>
      <c r="M200" s="51"/>
    </row>
    <row r="201" spans="1:13" x14ac:dyDescent="0.2">
      <c r="A201"/>
      <c r="B201"/>
      <c r="C201"/>
      <c r="D201"/>
      <c r="E201" s="7"/>
      <c r="F201"/>
      <c r="G201"/>
      <c r="H201" s="10"/>
      <c r="I201" s="10"/>
      <c r="J201" s="10"/>
      <c r="K201" s="10"/>
      <c r="L201" s="10"/>
      <c r="M201" s="51"/>
    </row>
    <row r="202" spans="1:13" x14ac:dyDescent="0.2">
      <c r="A202"/>
      <c r="B202"/>
      <c r="C202"/>
      <c r="D202"/>
      <c r="E202" s="7"/>
      <c r="F202"/>
      <c r="G202"/>
      <c r="H202" s="10"/>
      <c r="I202" s="10"/>
      <c r="J202" s="10"/>
      <c r="K202" s="10"/>
      <c r="L202" s="10"/>
      <c r="M202" s="51"/>
    </row>
    <row r="203" spans="1:13" x14ac:dyDescent="0.2">
      <c r="A203"/>
      <c r="B203"/>
      <c r="C203"/>
      <c r="D203"/>
      <c r="E203" s="7"/>
      <c r="F203"/>
      <c r="G203"/>
      <c r="H203" s="10"/>
      <c r="I203" s="10"/>
      <c r="J203" s="10"/>
      <c r="K203" s="10"/>
      <c r="L203" s="10"/>
      <c r="M203" s="51"/>
    </row>
    <row r="204" spans="1:13" x14ac:dyDescent="0.2">
      <c r="A204"/>
      <c r="B204"/>
      <c r="C204"/>
      <c r="D204"/>
      <c r="E204" s="7"/>
      <c r="F204"/>
      <c r="G204"/>
      <c r="H204" s="10"/>
      <c r="I204" s="10"/>
      <c r="J204" s="10"/>
      <c r="K204" s="10"/>
      <c r="L204" s="10"/>
      <c r="M204" s="51"/>
    </row>
    <row r="205" spans="1:13" x14ac:dyDescent="0.2">
      <c r="A205"/>
      <c r="B205"/>
      <c r="C205"/>
      <c r="D205"/>
      <c r="E205" s="7"/>
      <c r="F205"/>
      <c r="G205"/>
      <c r="H205" s="10"/>
      <c r="I205" s="10"/>
      <c r="J205" s="10"/>
      <c r="K205" s="10"/>
      <c r="L205" s="10"/>
      <c r="M205" s="51"/>
    </row>
    <row r="206" spans="1:13" x14ac:dyDescent="0.2">
      <c r="A206"/>
      <c r="B206"/>
      <c r="C206"/>
      <c r="D206"/>
      <c r="E206" s="7"/>
      <c r="F206"/>
      <c r="G206"/>
      <c r="H206" s="10"/>
      <c r="I206" s="10"/>
      <c r="J206" s="10"/>
      <c r="K206" s="10"/>
      <c r="L206" s="10"/>
      <c r="M206" s="51"/>
    </row>
    <row r="207" spans="1:13" x14ac:dyDescent="0.2">
      <c r="A207"/>
      <c r="B207"/>
      <c r="C207"/>
      <c r="D207"/>
      <c r="E207" s="7"/>
      <c r="F207"/>
      <c r="G207"/>
      <c r="H207" s="10"/>
      <c r="I207" s="10"/>
      <c r="J207" s="10"/>
      <c r="K207" s="10"/>
      <c r="L207" s="10"/>
      <c r="M207" s="51"/>
    </row>
    <row r="208" spans="1:13" x14ac:dyDescent="0.2">
      <c r="A208"/>
      <c r="B208"/>
      <c r="C208"/>
      <c r="D208"/>
      <c r="E208" s="7"/>
      <c r="F208"/>
      <c r="G208"/>
      <c r="H208" s="10"/>
      <c r="I208" s="10"/>
      <c r="J208" s="10"/>
      <c r="K208" s="10"/>
      <c r="L208" s="10"/>
      <c r="M208" s="51"/>
    </row>
    <row r="209" spans="1:13" x14ac:dyDescent="0.2">
      <c r="A209"/>
      <c r="B209"/>
      <c r="C209"/>
      <c r="D209"/>
      <c r="E209" s="7"/>
      <c r="F209"/>
      <c r="G209"/>
      <c r="H209" s="10"/>
      <c r="I209" s="10"/>
      <c r="J209" s="10"/>
      <c r="K209" s="10"/>
      <c r="L209" s="10"/>
      <c r="M209" s="51"/>
    </row>
    <row r="210" spans="1:13" x14ac:dyDescent="0.2">
      <c r="A210"/>
      <c r="B210"/>
      <c r="C210"/>
      <c r="D210"/>
      <c r="E210" s="7"/>
      <c r="F210"/>
      <c r="G210"/>
      <c r="H210" s="10"/>
      <c r="I210" s="10"/>
      <c r="J210" s="10"/>
      <c r="K210" s="10"/>
      <c r="L210" s="10"/>
      <c r="M210" s="51"/>
    </row>
    <row r="211" spans="1:13" x14ac:dyDescent="0.2">
      <c r="A211"/>
      <c r="B211"/>
      <c r="C211"/>
      <c r="D211"/>
      <c r="E211" s="7"/>
      <c r="F211"/>
      <c r="G211"/>
      <c r="H211" s="10"/>
      <c r="I211" s="10"/>
      <c r="J211" s="10"/>
      <c r="K211" s="10"/>
      <c r="L211" s="10"/>
      <c r="M211" s="51"/>
    </row>
    <row r="212" spans="1:13" x14ac:dyDescent="0.2">
      <c r="A212"/>
      <c r="B212"/>
      <c r="C212"/>
      <c r="D212"/>
      <c r="E212" s="7"/>
      <c r="F212"/>
      <c r="G212"/>
      <c r="H212" s="10"/>
      <c r="I212" s="10"/>
      <c r="J212" s="10"/>
      <c r="K212" s="10"/>
      <c r="L212" s="10"/>
      <c r="M212" s="51"/>
    </row>
    <row r="213" spans="1:13" x14ac:dyDescent="0.2">
      <c r="A213"/>
      <c r="B213"/>
      <c r="C213"/>
      <c r="D213"/>
      <c r="E213" s="7"/>
      <c r="F213"/>
      <c r="G213"/>
      <c r="H213" s="10"/>
      <c r="I213" s="10"/>
      <c r="J213" s="10"/>
      <c r="K213" s="10"/>
      <c r="L213" s="10"/>
      <c r="M213" s="51"/>
    </row>
    <row r="214" spans="1:13" x14ac:dyDescent="0.2">
      <c r="A214"/>
      <c r="B214"/>
      <c r="C214"/>
      <c r="D214"/>
      <c r="E214" s="7"/>
      <c r="F214"/>
      <c r="G214"/>
      <c r="H214" s="10"/>
      <c r="I214" s="10"/>
      <c r="J214" s="10"/>
      <c r="K214" s="10"/>
      <c r="L214" s="10"/>
      <c r="M214" s="51"/>
    </row>
    <row r="215" spans="1:13" x14ac:dyDescent="0.2">
      <c r="A215"/>
      <c r="B215"/>
      <c r="C215"/>
      <c r="D215"/>
      <c r="E215" s="7"/>
      <c r="F215"/>
      <c r="G215"/>
      <c r="H215" s="10"/>
      <c r="I215" s="10"/>
      <c r="J215" s="10"/>
      <c r="K215" s="10"/>
      <c r="L215" s="10"/>
      <c r="M215" s="51"/>
    </row>
    <row r="216" spans="1:13" x14ac:dyDescent="0.2">
      <c r="A216"/>
      <c r="B216"/>
      <c r="C216"/>
      <c r="D216"/>
      <c r="E216" s="7"/>
      <c r="F216"/>
      <c r="G216"/>
      <c r="H216" s="10"/>
      <c r="I216" s="10"/>
      <c r="J216" s="10"/>
      <c r="K216" s="10"/>
      <c r="L216" s="10"/>
      <c r="M216" s="51"/>
    </row>
    <row r="217" spans="1:13" x14ac:dyDescent="0.2">
      <c r="A217"/>
      <c r="B217"/>
      <c r="C217"/>
      <c r="D217"/>
      <c r="E217" s="7"/>
      <c r="F217"/>
      <c r="G217"/>
      <c r="H217" s="10"/>
      <c r="I217" s="10"/>
      <c r="J217" s="10"/>
      <c r="K217" s="10"/>
      <c r="L217" s="10"/>
      <c r="M217" s="51"/>
    </row>
    <row r="218" spans="1:13" x14ac:dyDescent="0.2">
      <c r="A218"/>
      <c r="B218"/>
      <c r="C218"/>
      <c r="D218"/>
      <c r="E218" s="7"/>
      <c r="F218"/>
      <c r="G218"/>
      <c r="H218" s="10"/>
      <c r="I218" s="10"/>
      <c r="J218" s="10"/>
      <c r="K218" s="10"/>
      <c r="L218" s="10"/>
      <c r="M218" s="51"/>
    </row>
    <row r="219" spans="1:13" x14ac:dyDescent="0.2">
      <c r="A219"/>
      <c r="B219"/>
      <c r="C219"/>
      <c r="D219"/>
      <c r="E219" s="7"/>
      <c r="F219"/>
      <c r="G219"/>
      <c r="H219" s="10"/>
      <c r="I219" s="10"/>
      <c r="J219" s="10"/>
      <c r="K219" s="10"/>
      <c r="L219" s="10"/>
      <c r="M219" s="51"/>
    </row>
    <row r="220" spans="1:13" x14ac:dyDescent="0.2">
      <c r="A220"/>
      <c r="B220"/>
      <c r="C220"/>
      <c r="D220"/>
      <c r="E220" s="7"/>
      <c r="F220"/>
      <c r="G220"/>
      <c r="H220" s="10"/>
      <c r="I220" s="10"/>
      <c r="J220" s="10"/>
      <c r="K220" s="10"/>
      <c r="L220" s="10"/>
      <c r="M220" s="51"/>
    </row>
    <row r="221" spans="1:13" x14ac:dyDescent="0.2">
      <c r="A221"/>
      <c r="B221"/>
      <c r="C221"/>
      <c r="D221"/>
      <c r="E221" s="7"/>
      <c r="F221"/>
      <c r="G221"/>
      <c r="H221" s="10"/>
      <c r="I221" s="10"/>
      <c r="J221" s="10"/>
      <c r="K221" s="10"/>
      <c r="L221" s="10"/>
      <c r="M221" s="51"/>
    </row>
    <row r="222" spans="1:13" x14ac:dyDescent="0.2">
      <c r="A222"/>
      <c r="B222"/>
      <c r="C222"/>
      <c r="D222"/>
      <c r="E222" s="7"/>
      <c r="F222"/>
      <c r="G222"/>
      <c r="H222" s="10"/>
      <c r="I222" s="10"/>
      <c r="J222" s="10"/>
      <c r="K222" s="10"/>
      <c r="L222" s="10"/>
      <c r="M222" s="51"/>
    </row>
    <row r="223" spans="1:13" x14ac:dyDescent="0.2">
      <c r="A223"/>
      <c r="B223"/>
      <c r="C223"/>
      <c r="D223"/>
      <c r="E223" s="7"/>
      <c r="F223"/>
      <c r="G223"/>
      <c r="H223" s="10"/>
      <c r="I223" s="10"/>
      <c r="J223" s="10"/>
      <c r="K223" s="10"/>
      <c r="L223" s="10"/>
      <c r="M223" s="51"/>
    </row>
    <row r="224" spans="1:13" x14ac:dyDescent="0.2">
      <c r="A224"/>
      <c r="B224"/>
      <c r="C224"/>
      <c r="D224"/>
      <c r="E224" s="7"/>
      <c r="F224"/>
      <c r="G224"/>
      <c r="H224" s="10"/>
      <c r="I224" s="10"/>
      <c r="J224" s="10"/>
      <c r="K224" s="10"/>
      <c r="L224" s="10"/>
      <c r="M224" s="51"/>
    </row>
    <row r="225" spans="1:13" x14ac:dyDescent="0.2">
      <c r="A225"/>
      <c r="B225"/>
      <c r="C225"/>
      <c r="D225"/>
      <c r="E225" s="7"/>
      <c r="F225"/>
      <c r="G225"/>
      <c r="H225" s="10"/>
      <c r="I225" s="10"/>
      <c r="J225" s="10"/>
      <c r="K225" s="10"/>
      <c r="L225" s="10"/>
      <c r="M225" s="51"/>
    </row>
  </sheetData>
  <autoFilter ref="A1:M225"/>
  <pageMargins left="0.75" right="0.75" top="1" bottom="1" header="0.5" footer="0.5"/>
  <pageSetup scale="73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N236"/>
  <sheetViews>
    <sheetView zoomScale="120" zoomScaleNormal="120" workbookViewId="0">
      <pane ySplit="1" topLeftCell="A14" activePane="bottomLeft" state="frozen"/>
      <selection activeCell="B1" sqref="B1"/>
      <selection pane="bottomLeft" activeCell="A26" sqref="A26"/>
    </sheetView>
  </sheetViews>
  <sheetFormatPr defaultColWidth="9.140625" defaultRowHeight="12.75" x14ac:dyDescent="0.2"/>
  <cols>
    <col min="1" max="1" width="10.140625" style="3" customWidth="1"/>
    <col min="2" max="2" width="25.7109375" style="3" customWidth="1"/>
    <col min="3" max="3" width="11.42578125" style="3" customWidth="1"/>
    <col min="4" max="4" width="13.7109375" style="3" customWidth="1"/>
    <col min="5" max="5" width="11.42578125" style="8" customWidth="1"/>
    <col min="6" max="7" width="8" style="3" customWidth="1"/>
    <col min="8" max="8" width="8" style="11" customWidth="1"/>
    <col min="9" max="9" width="10.5703125" style="11" customWidth="1"/>
    <col min="10" max="10" width="15.28515625" style="11" customWidth="1"/>
    <col min="11" max="11" width="9.140625" style="11" customWidth="1"/>
    <col min="12" max="12" width="8" style="11" customWidth="1"/>
    <col min="13" max="13" width="116.28515625" style="82" customWidth="1"/>
    <col min="14" max="14" width="27.85546875" style="14" bestFit="1" customWidth="1"/>
    <col min="15" max="16384" width="9.140625" style="3"/>
  </cols>
  <sheetData>
    <row r="1" spans="1:14" s="1" customFormat="1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1" t="s">
        <v>5</v>
      </c>
      <c r="G1" s="1" t="s">
        <v>6</v>
      </c>
      <c r="H1" s="9" t="s">
        <v>7</v>
      </c>
      <c r="I1" s="30" t="s">
        <v>8</v>
      </c>
      <c r="J1" s="30" t="s">
        <v>9</v>
      </c>
      <c r="K1" s="16" t="s">
        <v>10</v>
      </c>
      <c r="L1" s="16" t="s">
        <v>11</v>
      </c>
      <c r="M1" s="77" t="s">
        <v>12</v>
      </c>
      <c r="N1" s="13"/>
    </row>
    <row r="2" spans="1:14" x14ac:dyDescent="0.2">
      <c r="A2" s="3" t="s">
        <v>196</v>
      </c>
      <c r="B2" t="s">
        <v>197</v>
      </c>
      <c r="C2" s="5">
        <v>43682</v>
      </c>
      <c r="D2" s="41" t="s">
        <v>44</v>
      </c>
      <c r="E2" s="42">
        <v>13629</v>
      </c>
      <c r="F2"/>
      <c r="G2"/>
      <c r="H2" s="10">
        <v>-10.94</v>
      </c>
      <c r="I2" s="23"/>
      <c r="J2" s="14"/>
      <c r="K2" s="24"/>
      <c r="L2" s="71">
        <v>-1019.6</v>
      </c>
      <c r="M2" s="2" t="s">
        <v>198</v>
      </c>
      <c r="N2" s="3"/>
    </row>
    <row r="3" spans="1:14" x14ac:dyDescent="0.2">
      <c r="A3" s="3" t="s">
        <v>196</v>
      </c>
      <c r="B3" t="s">
        <v>197</v>
      </c>
      <c r="C3" s="5">
        <v>43682</v>
      </c>
      <c r="D3" s="2" t="s">
        <v>84</v>
      </c>
      <c r="E3" s="7"/>
      <c r="F3"/>
      <c r="G3"/>
      <c r="H3" s="10">
        <v>-11.14</v>
      </c>
      <c r="I3" s="10"/>
      <c r="J3" s="10"/>
      <c r="K3" s="10"/>
      <c r="L3" s="10"/>
      <c r="M3" s="51" t="s">
        <v>199</v>
      </c>
    </row>
    <row r="4" spans="1:14" x14ac:dyDescent="0.2">
      <c r="A4" s="3" t="s">
        <v>196</v>
      </c>
      <c r="B4" t="s">
        <v>197</v>
      </c>
      <c r="C4" s="5">
        <v>43713</v>
      </c>
      <c r="D4" s="2" t="s">
        <v>23</v>
      </c>
      <c r="E4" s="12"/>
      <c r="F4"/>
      <c r="G4"/>
      <c r="H4" s="10">
        <f>H2-0.65</f>
        <v>-11.59</v>
      </c>
      <c r="I4" s="10"/>
      <c r="J4" s="10"/>
      <c r="K4" s="10"/>
      <c r="L4" s="10"/>
      <c r="M4" s="51"/>
    </row>
    <row r="5" spans="1:14" x14ac:dyDescent="0.2">
      <c r="A5" s="3" t="s">
        <v>196</v>
      </c>
      <c r="B5" t="s">
        <v>197</v>
      </c>
      <c r="C5" s="5">
        <v>43682</v>
      </c>
      <c r="D5" s="63" t="s">
        <v>21</v>
      </c>
      <c r="E5" s="12"/>
      <c r="F5">
        <v>152600</v>
      </c>
      <c r="G5">
        <v>510600</v>
      </c>
      <c r="H5" s="10"/>
      <c r="I5" s="10"/>
      <c r="J5" s="10"/>
      <c r="K5" s="10"/>
      <c r="L5" s="10"/>
      <c r="M5" s="80" t="s">
        <v>200</v>
      </c>
    </row>
    <row r="6" spans="1:14" x14ac:dyDescent="0.2">
      <c r="A6" s="3" t="s">
        <v>196</v>
      </c>
      <c r="B6" t="s">
        <v>197</v>
      </c>
      <c r="C6" s="5">
        <v>43852</v>
      </c>
      <c r="D6" s="41" t="s">
        <v>44</v>
      </c>
      <c r="E6" s="42">
        <v>13629</v>
      </c>
      <c r="F6"/>
      <c r="G6"/>
      <c r="H6" s="10">
        <v>-5.25</v>
      </c>
      <c r="I6" s="23"/>
      <c r="J6" s="14"/>
      <c r="K6" s="24"/>
      <c r="L6" s="71">
        <v>-1019.6</v>
      </c>
      <c r="M6" s="2" t="s">
        <v>198</v>
      </c>
    </row>
    <row r="7" spans="1:14" x14ac:dyDescent="0.2">
      <c r="A7" s="3" t="s">
        <v>196</v>
      </c>
      <c r="B7" t="s">
        <v>197</v>
      </c>
      <c r="C7" s="5">
        <v>43852</v>
      </c>
      <c r="D7" s="2" t="s">
        <v>84</v>
      </c>
      <c r="E7" s="7"/>
      <c r="F7"/>
      <c r="G7"/>
      <c r="H7" s="10">
        <v>-5.45</v>
      </c>
      <c r="I7" s="10"/>
      <c r="J7" s="10"/>
      <c r="K7" s="10"/>
      <c r="L7" s="10"/>
      <c r="M7" s="51" t="s">
        <v>199</v>
      </c>
    </row>
    <row r="8" spans="1:14" x14ac:dyDescent="0.2">
      <c r="A8" s="3" t="s">
        <v>196</v>
      </c>
      <c r="B8" t="s">
        <v>197</v>
      </c>
      <c r="C8" s="5">
        <v>43852</v>
      </c>
      <c r="D8" s="2" t="s">
        <v>23</v>
      </c>
      <c r="E8" s="12"/>
      <c r="F8"/>
      <c r="G8"/>
      <c r="H8" s="10">
        <v>-5.9</v>
      </c>
      <c r="I8" s="10"/>
      <c r="J8" s="10"/>
      <c r="K8" s="10"/>
      <c r="L8" s="10"/>
      <c r="M8" s="51"/>
    </row>
    <row r="9" spans="1:14" x14ac:dyDescent="0.2">
      <c r="A9" s="3" t="s">
        <v>196</v>
      </c>
      <c r="B9" t="s">
        <v>197</v>
      </c>
      <c r="C9" s="5">
        <v>43852</v>
      </c>
      <c r="D9" s="63" t="s">
        <v>21</v>
      </c>
      <c r="E9" s="12"/>
      <c r="F9">
        <v>152500</v>
      </c>
      <c r="G9">
        <v>510600</v>
      </c>
      <c r="H9" s="10"/>
      <c r="I9" s="10"/>
      <c r="J9" s="10"/>
      <c r="K9" s="10"/>
      <c r="L9" s="10"/>
      <c r="M9" s="80" t="s">
        <v>200</v>
      </c>
    </row>
    <row r="10" spans="1:14" x14ac:dyDescent="0.2">
      <c r="A10" s="3" t="s">
        <v>196</v>
      </c>
      <c r="B10" t="s">
        <v>197</v>
      </c>
      <c r="C10" s="5">
        <v>43928</v>
      </c>
      <c r="D10" s="41" t="s">
        <v>44</v>
      </c>
      <c r="E10" s="42">
        <v>13629</v>
      </c>
      <c r="F10"/>
      <c r="G10"/>
      <c r="H10" s="10">
        <v>-3.52</v>
      </c>
      <c r="I10" s="23"/>
      <c r="J10" s="14"/>
      <c r="K10" s="24"/>
      <c r="L10" s="71">
        <v>-1019.6</v>
      </c>
      <c r="M10" s="2" t="s">
        <v>198</v>
      </c>
    </row>
    <row r="11" spans="1:14" x14ac:dyDescent="0.2">
      <c r="A11" s="3" t="s">
        <v>196</v>
      </c>
      <c r="B11" t="s">
        <v>197</v>
      </c>
      <c r="C11" s="5">
        <v>43928</v>
      </c>
      <c r="D11" s="2" t="s">
        <v>84</v>
      </c>
      <c r="E11" s="7"/>
      <c r="F11"/>
      <c r="G11"/>
      <c r="H11" s="10">
        <v>-3.72</v>
      </c>
      <c r="I11" s="10"/>
      <c r="J11" s="10"/>
      <c r="K11" s="10"/>
      <c r="L11" s="10"/>
      <c r="M11" s="51" t="s">
        <v>199</v>
      </c>
    </row>
    <row r="12" spans="1:14" x14ac:dyDescent="0.2">
      <c r="A12" s="3" t="s">
        <v>196</v>
      </c>
      <c r="B12" t="s">
        <v>197</v>
      </c>
      <c r="C12" s="5">
        <v>43928</v>
      </c>
      <c r="D12" s="2" t="s">
        <v>23</v>
      </c>
      <c r="E12" s="12"/>
      <c r="F12"/>
      <c r="G12"/>
      <c r="H12" s="10">
        <v>-4.17</v>
      </c>
      <c r="I12" s="10"/>
      <c r="J12" s="10"/>
      <c r="K12" s="10"/>
      <c r="L12" s="10"/>
      <c r="M12" s="51"/>
    </row>
    <row r="13" spans="1:14" x14ac:dyDescent="0.2">
      <c r="A13" s="3" t="s">
        <v>196</v>
      </c>
      <c r="B13" t="s">
        <v>197</v>
      </c>
      <c r="C13" s="5">
        <v>43928</v>
      </c>
      <c r="D13" s="63" t="s">
        <v>21</v>
      </c>
      <c r="E13" s="12"/>
      <c r="F13">
        <v>155000</v>
      </c>
      <c r="G13">
        <v>513000</v>
      </c>
      <c r="H13" s="10"/>
      <c r="I13" s="10"/>
      <c r="J13" s="10"/>
      <c r="K13" s="10"/>
      <c r="L13" s="10"/>
      <c r="M13" s="80" t="s">
        <v>200</v>
      </c>
    </row>
    <row r="14" spans="1:14" x14ac:dyDescent="0.2">
      <c r="A14" s="39" t="s">
        <v>196</v>
      </c>
      <c r="B14" s="20" t="s">
        <v>197</v>
      </c>
      <c r="C14" s="40">
        <v>44055</v>
      </c>
      <c r="D14" s="41" t="s">
        <v>44</v>
      </c>
      <c r="E14" s="42">
        <v>13629</v>
      </c>
      <c r="F14" s="20"/>
      <c r="G14" s="20"/>
      <c r="H14" s="19">
        <v>-3.47</v>
      </c>
      <c r="I14" s="10"/>
      <c r="J14" s="10"/>
      <c r="K14" s="10"/>
      <c r="L14" s="71">
        <v>-1019.6</v>
      </c>
      <c r="M14" s="51" t="s">
        <v>198</v>
      </c>
    </row>
    <row r="15" spans="1:14" x14ac:dyDescent="0.2">
      <c r="A15" s="39" t="s">
        <v>196</v>
      </c>
      <c r="B15" s="20" t="s">
        <v>197</v>
      </c>
      <c r="C15" s="40">
        <v>44055</v>
      </c>
      <c r="D15" s="41" t="s">
        <v>84</v>
      </c>
      <c r="E15" s="42"/>
      <c r="F15" s="20"/>
      <c r="G15" s="20"/>
      <c r="H15" s="19">
        <v>-3.67</v>
      </c>
      <c r="I15" s="10"/>
      <c r="J15" s="10"/>
      <c r="K15" s="10"/>
      <c r="L15" s="10"/>
      <c r="M15" s="51" t="s">
        <v>199</v>
      </c>
    </row>
    <row r="16" spans="1:14" x14ac:dyDescent="0.2">
      <c r="A16" s="39" t="s">
        <v>196</v>
      </c>
      <c r="B16" s="20" t="s">
        <v>197</v>
      </c>
      <c r="C16" s="40">
        <v>44055</v>
      </c>
      <c r="D16" s="41" t="s">
        <v>23</v>
      </c>
      <c r="E16" s="42"/>
      <c r="F16" s="20"/>
      <c r="G16" s="20"/>
      <c r="H16" s="19">
        <v>-4.12</v>
      </c>
      <c r="I16" s="10"/>
      <c r="J16" s="10"/>
      <c r="K16" s="10"/>
      <c r="L16" s="10"/>
      <c r="M16" s="51"/>
    </row>
    <row r="17" spans="1:14" x14ac:dyDescent="0.2">
      <c r="A17" s="39" t="s">
        <v>196</v>
      </c>
      <c r="B17" s="20" t="s">
        <v>197</v>
      </c>
      <c r="C17" s="40">
        <v>44055</v>
      </c>
      <c r="D17" s="41" t="s">
        <v>21</v>
      </c>
      <c r="E17" s="42"/>
      <c r="F17" s="20">
        <v>155000</v>
      </c>
      <c r="G17" s="20">
        <v>513000</v>
      </c>
      <c r="H17" s="19"/>
      <c r="I17" s="10"/>
      <c r="J17" s="10"/>
      <c r="K17" s="10"/>
      <c r="L17" s="10"/>
      <c r="M17" s="51" t="s">
        <v>200</v>
      </c>
    </row>
    <row r="18" spans="1:14" x14ac:dyDescent="0.2">
      <c r="A18" s="39" t="s">
        <v>196</v>
      </c>
      <c r="B18" s="20" t="s">
        <v>197</v>
      </c>
      <c r="C18" s="40">
        <v>44130</v>
      </c>
      <c r="D18" s="41" t="s">
        <v>44</v>
      </c>
      <c r="E18" s="42">
        <v>13629</v>
      </c>
      <c r="F18" s="20"/>
      <c r="G18" s="20"/>
      <c r="H18" s="19">
        <v>-10.94</v>
      </c>
      <c r="I18" s="10"/>
      <c r="J18" s="10"/>
      <c r="K18" s="10"/>
      <c r="L18" s="71">
        <v>-1019.6</v>
      </c>
      <c r="M18" s="51" t="s">
        <v>198</v>
      </c>
    </row>
    <row r="19" spans="1:14" x14ac:dyDescent="0.2">
      <c r="A19" s="39" t="s">
        <v>196</v>
      </c>
      <c r="B19" s="20" t="s">
        <v>197</v>
      </c>
      <c r="C19" s="40">
        <v>44130</v>
      </c>
      <c r="D19" s="41" t="s">
        <v>84</v>
      </c>
      <c r="E19" s="42"/>
      <c r="F19" s="20"/>
      <c r="G19" s="20"/>
      <c r="H19" s="19">
        <v>-11.14</v>
      </c>
      <c r="I19" s="10"/>
      <c r="J19" s="10"/>
      <c r="K19" s="10"/>
      <c r="L19" s="10"/>
      <c r="M19" s="51" t="s">
        <v>199</v>
      </c>
    </row>
    <row r="20" spans="1:14" x14ac:dyDescent="0.2">
      <c r="A20" s="39" t="s">
        <v>196</v>
      </c>
      <c r="B20" s="20" t="s">
        <v>197</v>
      </c>
      <c r="C20" s="40">
        <v>44130</v>
      </c>
      <c r="D20" s="41" t="s">
        <v>23</v>
      </c>
      <c r="E20" s="42"/>
      <c r="F20" s="20"/>
      <c r="G20" s="20"/>
      <c r="H20" s="19">
        <v>-11.59</v>
      </c>
      <c r="I20" s="10"/>
      <c r="J20" s="10"/>
      <c r="K20" s="10"/>
      <c r="L20" s="10"/>
      <c r="M20" s="51"/>
    </row>
    <row r="21" spans="1:14" x14ac:dyDescent="0.2">
      <c r="A21" s="39" t="s">
        <v>196</v>
      </c>
      <c r="B21" s="20" t="s">
        <v>197</v>
      </c>
      <c r="C21" s="40">
        <v>44130</v>
      </c>
      <c r="D21" s="41" t="s">
        <v>21</v>
      </c>
      <c r="E21" s="42"/>
      <c r="F21" s="20">
        <v>152600</v>
      </c>
      <c r="G21" s="20">
        <v>510600</v>
      </c>
      <c r="H21" s="19"/>
      <c r="I21" s="10"/>
      <c r="J21" s="10"/>
      <c r="K21" s="10"/>
      <c r="L21" s="10"/>
      <c r="M21" s="51" t="s">
        <v>200</v>
      </c>
    </row>
    <row r="22" spans="1:14" x14ac:dyDescent="0.2">
      <c r="A22" s="39" t="s">
        <v>196</v>
      </c>
      <c r="B22" s="20" t="s">
        <v>197</v>
      </c>
      <c r="C22" s="40">
        <v>44203</v>
      </c>
      <c r="D22" s="41" t="s">
        <v>44</v>
      </c>
      <c r="E22" s="42">
        <v>13629</v>
      </c>
      <c r="F22" s="20"/>
      <c r="G22" s="20"/>
      <c r="H22" s="19">
        <v>-10.49</v>
      </c>
      <c r="I22" s="10"/>
      <c r="J22" s="10"/>
      <c r="K22" s="10"/>
      <c r="L22" s="71">
        <v>-1019.6</v>
      </c>
      <c r="M22" s="51" t="s">
        <v>198</v>
      </c>
    </row>
    <row r="23" spans="1:14" x14ac:dyDescent="0.2">
      <c r="A23" s="39" t="s">
        <v>196</v>
      </c>
      <c r="B23" s="20" t="s">
        <v>197</v>
      </c>
      <c r="C23" s="40">
        <v>44203</v>
      </c>
      <c r="D23" s="41" t="s">
        <v>84</v>
      </c>
      <c r="E23" s="42"/>
      <c r="F23" s="20"/>
      <c r="G23" s="20"/>
      <c r="H23" s="19">
        <v>-10.69</v>
      </c>
      <c r="I23" s="10"/>
      <c r="J23" s="10"/>
      <c r="K23" s="10"/>
      <c r="L23" s="10"/>
      <c r="M23" s="51" t="s">
        <v>199</v>
      </c>
    </row>
    <row r="24" spans="1:14" x14ac:dyDescent="0.2">
      <c r="A24" s="39" t="s">
        <v>196</v>
      </c>
      <c r="B24" s="20" t="s">
        <v>197</v>
      </c>
      <c r="C24" s="40">
        <v>44203</v>
      </c>
      <c r="D24" s="41" t="s">
        <v>23</v>
      </c>
      <c r="E24" s="42"/>
      <c r="F24" s="20"/>
      <c r="G24" s="20"/>
      <c r="H24" s="19">
        <v>-11.59</v>
      </c>
      <c r="I24" s="10"/>
      <c r="J24" s="10"/>
      <c r="K24" s="10"/>
      <c r="L24" s="10"/>
      <c r="M24" s="51"/>
    </row>
    <row r="25" spans="1:14" s="126" customFormat="1" ht="13.5" thickBot="1" x14ac:dyDescent="0.25">
      <c r="A25" s="175" t="s">
        <v>196</v>
      </c>
      <c r="B25" s="166" t="s">
        <v>197</v>
      </c>
      <c r="C25" s="176">
        <v>44203</v>
      </c>
      <c r="D25" s="165" t="s">
        <v>21</v>
      </c>
      <c r="E25" s="167"/>
      <c r="F25" s="166">
        <v>152600</v>
      </c>
      <c r="G25" s="166">
        <v>510600</v>
      </c>
      <c r="H25" s="168"/>
      <c r="I25" s="123"/>
      <c r="J25" s="123"/>
      <c r="K25" s="123"/>
      <c r="L25" s="123"/>
      <c r="M25" s="164" t="s">
        <v>200</v>
      </c>
      <c r="N25" s="125"/>
    </row>
    <row r="26" spans="1:14" x14ac:dyDescent="0.2">
      <c r="A26" s="39" t="s">
        <v>196</v>
      </c>
      <c r="B26" s="20" t="s">
        <v>197</v>
      </c>
      <c r="C26" s="40">
        <v>44253</v>
      </c>
      <c r="D26" s="41" t="s">
        <v>44</v>
      </c>
      <c r="E26" s="42">
        <v>13629</v>
      </c>
      <c r="F26" s="20"/>
      <c r="G26" s="20"/>
      <c r="H26" s="19">
        <v>-10.49</v>
      </c>
      <c r="I26" s="10"/>
      <c r="J26" s="10"/>
      <c r="K26" s="10"/>
      <c r="L26" s="71">
        <v>-1019.6</v>
      </c>
      <c r="M26" s="51" t="s">
        <v>198</v>
      </c>
    </row>
    <row r="27" spans="1:14" x14ac:dyDescent="0.2">
      <c r="A27" s="39" t="s">
        <v>196</v>
      </c>
      <c r="B27" s="20" t="s">
        <v>197</v>
      </c>
      <c r="C27" s="40">
        <v>44253</v>
      </c>
      <c r="D27" s="41" t="s">
        <v>84</v>
      </c>
      <c r="E27" s="42"/>
      <c r="F27" s="20"/>
      <c r="G27" s="20"/>
      <c r="H27" s="19">
        <v>-10.69</v>
      </c>
      <c r="I27" s="10"/>
      <c r="J27" s="10"/>
      <c r="K27" s="10"/>
      <c r="L27" s="10"/>
      <c r="M27" s="51" t="s">
        <v>199</v>
      </c>
    </row>
    <row r="28" spans="1:14" x14ac:dyDescent="0.2">
      <c r="A28" s="39" t="s">
        <v>196</v>
      </c>
      <c r="B28" s="20" t="s">
        <v>197</v>
      </c>
      <c r="C28" s="40">
        <v>44253</v>
      </c>
      <c r="D28" s="41" t="s">
        <v>23</v>
      </c>
      <c r="E28" s="42"/>
      <c r="F28" s="20"/>
      <c r="G28" s="20"/>
      <c r="H28" s="19">
        <v>-11.59</v>
      </c>
      <c r="I28" s="10"/>
      <c r="J28" s="10"/>
      <c r="K28" s="10"/>
      <c r="L28" s="10"/>
      <c r="M28" s="51"/>
    </row>
    <row r="29" spans="1:14" s="4" customFormat="1" x14ac:dyDescent="0.2">
      <c r="A29" s="39" t="s">
        <v>196</v>
      </c>
      <c r="B29" s="20" t="s">
        <v>197</v>
      </c>
      <c r="C29" s="40">
        <v>44253</v>
      </c>
      <c r="D29" s="41" t="s">
        <v>21</v>
      </c>
      <c r="E29" s="42"/>
      <c r="F29" s="20">
        <v>152600</v>
      </c>
      <c r="G29" s="20">
        <v>510600</v>
      </c>
      <c r="H29" s="19"/>
      <c r="I29" s="10"/>
      <c r="J29" s="10"/>
      <c r="K29" s="10"/>
      <c r="L29" s="10"/>
      <c r="M29" s="51" t="s">
        <v>200</v>
      </c>
      <c r="N29" s="15"/>
    </row>
    <row r="30" spans="1:14" x14ac:dyDescent="0.2">
      <c r="A30"/>
      <c r="B30"/>
      <c r="C30"/>
      <c r="D30"/>
      <c r="E30" s="7"/>
      <c r="F30"/>
      <c r="G30"/>
      <c r="H30" s="10"/>
      <c r="I30" s="10"/>
      <c r="J30" s="10"/>
      <c r="K30" s="10"/>
      <c r="L30" s="10"/>
      <c r="M30" s="51"/>
    </row>
    <row r="31" spans="1:14" x14ac:dyDescent="0.2">
      <c r="A31"/>
      <c r="B31"/>
      <c r="C31"/>
      <c r="D31"/>
      <c r="E31" s="7"/>
      <c r="F31"/>
      <c r="G31"/>
      <c r="H31" s="10"/>
      <c r="I31" s="10"/>
      <c r="J31" s="10"/>
      <c r="K31" s="10"/>
      <c r="L31" s="10"/>
      <c r="M31" s="51"/>
    </row>
    <row r="32" spans="1:14" x14ac:dyDescent="0.2">
      <c r="A32"/>
      <c r="B32"/>
      <c r="C32"/>
      <c r="D32"/>
      <c r="E32" s="7"/>
      <c r="F32"/>
      <c r="G32"/>
      <c r="H32" s="10"/>
      <c r="I32" s="10"/>
      <c r="J32" s="10"/>
      <c r="K32" s="10"/>
      <c r="L32" s="10"/>
      <c r="M32" s="51"/>
    </row>
    <row r="33" spans="1:13" x14ac:dyDescent="0.2">
      <c r="A33"/>
      <c r="B33"/>
      <c r="C33"/>
      <c r="D33"/>
      <c r="E33" s="7"/>
      <c r="F33"/>
      <c r="G33"/>
      <c r="H33" s="10"/>
      <c r="I33" s="10"/>
      <c r="J33" s="10"/>
      <c r="K33" s="10"/>
      <c r="L33" s="10"/>
      <c r="M33" s="51"/>
    </row>
    <row r="34" spans="1:13" x14ac:dyDescent="0.2">
      <c r="A34"/>
      <c r="B34"/>
      <c r="C34"/>
      <c r="D34"/>
      <c r="E34" s="7"/>
      <c r="F34"/>
      <c r="G34"/>
      <c r="H34" s="10"/>
      <c r="I34" s="10"/>
      <c r="J34" s="10"/>
      <c r="K34" s="10"/>
      <c r="L34" s="10"/>
      <c r="M34" s="51"/>
    </row>
    <row r="35" spans="1:13" x14ac:dyDescent="0.2">
      <c r="A35"/>
      <c r="B35"/>
      <c r="C35"/>
      <c r="D35"/>
      <c r="E35" s="7"/>
      <c r="F35"/>
      <c r="G35"/>
      <c r="H35" s="10"/>
      <c r="I35" s="10"/>
      <c r="J35" s="10"/>
      <c r="K35" s="10"/>
      <c r="L35" s="10"/>
      <c r="M35" s="51"/>
    </row>
    <row r="36" spans="1:13" x14ac:dyDescent="0.2">
      <c r="A36"/>
      <c r="B36"/>
      <c r="C36"/>
      <c r="D36"/>
      <c r="E36" s="7"/>
      <c r="F36"/>
      <c r="G36"/>
      <c r="H36" s="10"/>
      <c r="I36" s="10"/>
      <c r="J36" s="10"/>
      <c r="K36" s="10"/>
      <c r="L36" s="10"/>
      <c r="M36" s="51"/>
    </row>
    <row r="37" spans="1:13" x14ac:dyDescent="0.2">
      <c r="A37"/>
      <c r="B37"/>
      <c r="C37"/>
      <c r="D37"/>
      <c r="E37" s="7"/>
      <c r="F37"/>
      <c r="G37"/>
      <c r="H37" s="10"/>
      <c r="I37" s="10"/>
      <c r="J37" s="10"/>
      <c r="K37" s="10"/>
      <c r="L37" s="10"/>
      <c r="M37" s="51"/>
    </row>
    <row r="38" spans="1:13" x14ac:dyDescent="0.2">
      <c r="A38"/>
      <c r="B38"/>
      <c r="C38"/>
      <c r="D38"/>
      <c r="E38" s="7"/>
      <c r="F38"/>
      <c r="G38"/>
      <c r="H38" s="10"/>
      <c r="I38" s="10"/>
      <c r="J38" s="10"/>
      <c r="K38" s="10"/>
      <c r="L38" s="10"/>
      <c r="M38" s="51"/>
    </row>
    <row r="39" spans="1:13" x14ac:dyDescent="0.2">
      <c r="A39"/>
      <c r="B39"/>
      <c r="C39"/>
      <c r="D39"/>
      <c r="E39" s="7"/>
      <c r="F39"/>
      <c r="G39"/>
      <c r="H39" s="10"/>
      <c r="I39" s="10"/>
      <c r="J39" s="10"/>
      <c r="K39" s="10"/>
      <c r="L39" s="10"/>
      <c r="M39" s="51"/>
    </row>
    <row r="40" spans="1:13" x14ac:dyDescent="0.2">
      <c r="A40"/>
      <c r="B40"/>
      <c r="C40"/>
      <c r="D40"/>
      <c r="E40" s="7"/>
      <c r="F40"/>
      <c r="G40"/>
      <c r="H40" s="10"/>
      <c r="I40" s="10"/>
      <c r="J40" s="10"/>
      <c r="K40" s="10"/>
      <c r="L40" s="10"/>
      <c r="M40" s="51"/>
    </row>
    <row r="41" spans="1:13" x14ac:dyDescent="0.2">
      <c r="A41"/>
      <c r="B41"/>
      <c r="C41"/>
      <c r="D41"/>
      <c r="E41" s="7"/>
      <c r="F41"/>
      <c r="G41"/>
      <c r="H41" s="10"/>
      <c r="I41" s="10"/>
      <c r="J41" s="10"/>
      <c r="K41" s="10"/>
      <c r="L41" s="10"/>
      <c r="M41" s="51"/>
    </row>
    <row r="42" spans="1:13" x14ac:dyDescent="0.2">
      <c r="A42"/>
      <c r="B42"/>
      <c r="C42"/>
      <c r="D42"/>
      <c r="E42" s="7"/>
      <c r="F42"/>
      <c r="G42"/>
      <c r="H42" s="10"/>
      <c r="I42" s="10"/>
      <c r="J42" s="10"/>
      <c r="K42" s="10"/>
      <c r="L42" s="10"/>
      <c r="M42" s="51"/>
    </row>
    <row r="43" spans="1:13" x14ac:dyDescent="0.2">
      <c r="A43"/>
      <c r="B43"/>
      <c r="C43"/>
      <c r="D43"/>
      <c r="E43" s="7"/>
      <c r="F43"/>
      <c r="G43"/>
      <c r="H43" s="10"/>
      <c r="I43" s="10"/>
      <c r="J43" s="10"/>
      <c r="K43" s="10"/>
      <c r="L43" s="10"/>
      <c r="M43" s="51"/>
    </row>
    <row r="44" spans="1:13" x14ac:dyDescent="0.2">
      <c r="A44"/>
      <c r="B44"/>
      <c r="C44"/>
      <c r="D44"/>
      <c r="E44" s="7"/>
      <c r="F44"/>
      <c r="G44"/>
      <c r="H44" s="10"/>
      <c r="I44" s="10"/>
      <c r="J44" s="10"/>
      <c r="K44" s="10"/>
      <c r="L44" s="10"/>
      <c r="M44" s="51"/>
    </row>
    <row r="45" spans="1:13" x14ac:dyDescent="0.2">
      <c r="A45"/>
      <c r="B45"/>
      <c r="C45"/>
      <c r="D45"/>
      <c r="E45" s="7"/>
      <c r="F45"/>
      <c r="G45"/>
      <c r="H45" s="10"/>
      <c r="I45" s="10"/>
      <c r="J45" s="10"/>
      <c r="K45" s="10"/>
      <c r="L45" s="10"/>
      <c r="M45" s="51"/>
    </row>
    <row r="46" spans="1:13" x14ac:dyDescent="0.2">
      <c r="A46"/>
      <c r="B46"/>
      <c r="C46"/>
      <c r="D46"/>
      <c r="E46" s="7"/>
      <c r="F46"/>
      <c r="G46"/>
      <c r="H46" s="10"/>
      <c r="I46" s="10"/>
      <c r="J46" s="10"/>
      <c r="K46" s="10"/>
      <c r="L46" s="10"/>
      <c r="M46" s="51"/>
    </row>
    <row r="47" spans="1:13" x14ac:dyDescent="0.2">
      <c r="A47"/>
      <c r="B47"/>
      <c r="C47"/>
      <c r="D47"/>
      <c r="E47" s="7"/>
      <c r="F47"/>
      <c r="G47"/>
      <c r="H47" s="10"/>
      <c r="I47" s="10"/>
      <c r="J47" s="10"/>
      <c r="K47" s="10"/>
      <c r="L47" s="10"/>
      <c r="M47" s="51"/>
    </row>
    <row r="48" spans="1:13" x14ac:dyDescent="0.2">
      <c r="A48"/>
      <c r="B48"/>
      <c r="C48"/>
      <c r="D48"/>
      <c r="E48" s="7"/>
      <c r="F48"/>
      <c r="G48"/>
      <c r="H48" s="10"/>
      <c r="I48" s="10"/>
      <c r="J48" s="10"/>
      <c r="K48" s="10"/>
      <c r="L48" s="10"/>
      <c r="M48" s="51"/>
    </row>
    <row r="49" spans="1:13" x14ac:dyDescent="0.2">
      <c r="A49"/>
      <c r="B49"/>
      <c r="C49"/>
      <c r="D49"/>
      <c r="E49" s="7"/>
      <c r="F49"/>
      <c r="G49"/>
      <c r="H49" s="10"/>
      <c r="I49" s="10"/>
      <c r="J49" s="10"/>
      <c r="K49" s="10"/>
      <c r="L49" s="10"/>
      <c r="M49" s="51"/>
    </row>
    <row r="50" spans="1:13" x14ac:dyDescent="0.2">
      <c r="A50"/>
      <c r="B50"/>
      <c r="C50"/>
      <c r="D50"/>
      <c r="E50" s="7"/>
      <c r="F50"/>
      <c r="G50"/>
      <c r="H50" s="10"/>
      <c r="I50" s="10"/>
      <c r="J50" s="10"/>
      <c r="K50" s="10"/>
      <c r="L50" s="10"/>
      <c r="M50" s="51"/>
    </row>
    <row r="51" spans="1:13" ht="33.75" customHeight="1" x14ac:dyDescent="0.2">
      <c r="A51"/>
      <c r="B51"/>
      <c r="C51"/>
      <c r="D51"/>
      <c r="E51" s="7"/>
      <c r="F51"/>
      <c r="G51"/>
      <c r="H51" s="10"/>
      <c r="I51" s="10"/>
      <c r="J51" s="10"/>
      <c r="K51" s="10"/>
      <c r="L51" s="10"/>
      <c r="M51" s="51"/>
    </row>
    <row r="52" spans="1:13" x14ac:dyDescent="0.2">
      <c r="A52"/>
      <c r="B52"/>
      <c r="C52"/>
      <c r="D52"/>
      <c r="E52" s="7"/>
      <c r="F52"/>
      <c r="G52"/>
      <c r="H52" s="10"/>
      <c r="I52" s="10"/>
      <c r="J52" s="10"/>
      <c r="K52" s="10"/>
      <c r="L52" s="10"/>
      <c r="M52" s="51"/>
    </row>
    <row r="53" spans="1:13" x14ac:dyDescent="0.2">
      <c r="A53"/>
      <c r="B53"/>
      <c r="C53"/>
      <c r="D53"/>
      <c r="E53" s="7"/>
      <c r="F53"/>
      <c r="G53"/>
      <c r="H53" s="10"/>
      <c r="I53" s="10"/>
      <c r="J53" s="10"/>
      <c r="K53" s="10"/>
      <c r="L53" s="10"/>
      <c r="M53" s="51"/>
    </row>
    <row r="54" spans="1:13" x14ac:dyDescent="0.2">
      <c r="A54"/>
      <c r="B54"/>
      <c r="C54"/>
      <c r="D54"/>
      <c r="E54" s="7"/>
      <c r="F54"/>
      <c r="G54"/>
      <c r="H54" s="10"/>
      <c r="I54" s="10"/>
      <c r="J54" s="10"/>
      <c r="K54" s="10"/>
      <c r="L54" s="10"/>
      <c r="M54" s="51"/>
    </row>
    <row r="55" spans="1:13" x14ac:dyDescent="0.2">
      <c r="A55"/>
      <c r="B55"/>
      <c r="C55"/>
      <c r="D55"/>
      <c r="E55" s="7"/>
      <c r="F55"/>
      <c r="G55"/>
      <c r="H55" s="10"/>
      <c r="I55" s="10"/>
      <c r="J55" s="10"/>
      <c r="K55" s="10"/>
      <c r="L55" s="10"/>
      <c r="M55" s="51"/>
    </row>
    <row r="56" spans="1:13" x14ac:dyDescent="0.2">
      <c r="A56"/>
      <c r="B56"/>
      <c r="C56"/>
      <c r="D56"/>
      <c r="E56" s="7"/>
      <c r="F56"/>
      <c r="G56"/>
      <c r="H56" s="10"/>
      <c r="I56" s="10"/>
      <c r="J56" s="10"/>
      <c r="K56" s="10"/>
      <c r="L56" s="10"/>
      <c r="M56" s="51"/>
    </row>
    <row r="57" spans="1:13" x14ac:dyDescent="0.2">
      <c r="A57"/>
      <c r="B57"/>
      <c r="C57"/>
      <c r="D57"/>
      <c r="E57" s="7"/>
      <c r="F57"/>
      <c r="G57"/>
      <c r="H57" s="10"/>
      <c r="I57" s="10"/>
      <c r="J57" s="10"/>
      <c r="K57" s="10"/>
      <c r="L57" s="10"/>
      <c r="M57" s="51"/>
    </row>
    <row r="58" spans="1:13" x14ac:dyDescent="0.2">
      <c r="A58"/>
      <c r="B58"/>
      <c r="C58"/>
      <c r="D58"/>
      <c r="E58" s="7"/>
      <c r="F58"/>
      <c r="G58"/>
      <c r="H58" s="10"/>
      <c r="I58" s="10"/>
      <c r="J58" s="10"/>
      <c r="K58" s="10"/>
      <c r="L58" s="10"/>
      <c r="M58" s="51"/>
    </row>
    <row r="59" spans="1:13" x14ac:dyDescent="0.2">
      <c r="A59"/>
      <c r="B59"/>
      <c r="C59"/>
      <c r="D59"/>
      <c r="E59" s="7"/>
      <c r="F59"/>
      <c r="G59"/>
      <c r="H59" s="10"/>
      <c r="I59" s="10"/>
      <c r="J59" s="10"/>
      <c r="K59" s="10"/>
      <c r="L59" s="10"/>
      <c r="M59" s="51"/>
    </row>
    <row r="60" spans="1:13" x14ac:dyDescent="0.2">
      <c r="A60"/>
      <c r="B60"/>
      <c r="C60"/>
      <c r="D60"/>
      <c r="E60" s="7"/>
      <c r="F60"/>
      <c r="G60"/>
      <c r="H60" s="10"/>
      <c r="I60" s="10"/>
      <c r="J60" s="10"/>
      <c r="K60" s="10"/>
      <c r="L60" s="10"/>
      <c r="M60" s="51"/>
    </row>
    <row r="61" spans="1:13" x14ac:dyDescent="0.2">
      <c r="A61"/>
      <c r="B61"/>
      <c r="C61"/>
      <c r="D61"/>
      <c r="E61" s="7"/>
      <c r="F61"/>
      <c r="G61"/>
      <c r="H61" s="10"/>
      <c r="I61" s="10"/>
      <c r="J61" s="10"/>
      <c r="K61" s="10"/>
      <c r="L61" s="10"/>
      <c r="M61" s="51"/>
    </row>
    <row r="62" spans="1:13" x14ac:dyDescent="0.2">
      <c r="A62"/>
      <c r="B62"/>
      <c r="C62"/>
      <c r="D62"/>
      <c r="E62" s="7"/>
      <c r="F62"/>
      <c r="G62"/>
      <c r="H62" s="10"/>
      <c r="I62" s="10"/>
      <c r="J62" s="10"/>
      <c r="K62" s="10"/>
      <c r="L62" s="10"/>
      <c r="M62" s="51"/>
    </row>
    <row r="63" spans="1:13" ht="58.5" customHeight="1" x14ac:dyDescent="0.2">
      <c r="A63"/>
      <c r="B63"/>
      <c r="C63"/>
      <c r="D63"/>
      <c r="E63" s="7"/>
      <c r="F63"/>
      <c r="G63"/>
      <c r="H63" s="10"/>
      <c r="I63" s="10"/>
      <c r="J63" s="10"/>
      <c r="K63" s="10"/>
      <c r="L63" s="10"/>
      <c r="M63" s="51"/>
    </row>
    <row r="64" spans="1:13" x14ac:dyDescent="0.2">
      <c r="A64"/>
      <c r="B64"/>
      <c r="C64"/>
      <c r="D64"/>
      <c r="E64" s="7"/>
      <c r="F64"/>
      <c r="G64"/>
      <c r="H64" s="10"/>
      <c r="I64" s="10"/>
      <c r="J64" s="10"/>
      <c r="K64" s="10"/>
      <c r="L64" s="10"/>
      <c r="M64" s="51"/>
    </row>
    <row r="65" spans="1:13" x14ac:dyDescent="0.2">
      <c r="A65"/>
      <c r="B65"/>
      <c r="C65"/>
      <c r="D65"/>
      <c r="E65" s="7"/>
      <c r="F65"/>
      <c r="G65"/>
      <c r="H65" s="10"/>
      <c r="I65" s="10"/>
      <c r="J65" s="10"/>
      <c r="K65" s="10"/>
      <c r="L65" s="10"/>
      <c r="M65" s="51"/>
    </row>
    <row r="66" spans="1:13" x14ac:dyDescent="0.2">
      <c r="A66"/>
      <c r="B66"/>
      <c r="C66"/>
      <c r="D66"/>
      <c r="E66" s="7"/>
      <c r="F66"/>
      <c r="G66"/>
      <c r="H66" s="10"/>
      <c r="I66" s="10"/>
      <c r="J66" s="10"/>
      <c r="K66" s="10"/>
      <c r="L66" s="10"/>
      <c r="M66" s="51"/>
    </row>
    <row r="67" spans="1:13" x14ac:dyDescent="0.2">
      <c r="A67"/>
      <c r="B67"/>
      <c r="C67"/>
      <c r="D67"/>
      <c r="E67" s="7"/>
      <c r="F67"/>
      <c r="G67"/>
      <c r="H67" s="10"/>
      <c r="I67" s="10"/>
      <c r="J67" s="10"/>
      <c r="K67" s="10"/>
      <c r="L67" s="10"/>
      <c r="M67" s="51"/>
    </row>
    <row r="68" spans="1:13" x14ac:dyDescent="0.2">
      <c r="A68"/>
      <c r="B68"/>
      <c r="C68"/>
      <c r="D68"/>
      <c r="E68" s="7"/>
      <c r="F68"/>
      <c r="G68"/>
      <c r="H68" s="10"/>
      <c r="I68" s="10"/>
      <c r="J68" s="10"/>
      <c r="K68" s="10"/>
      <c r="L68" s="10"/>
      <c r="M68" s="51"/>
    </row>
    <row r="69" spans="1:13" x14ac:dyDescent="0.2">
      <c r="A69"/>
      <c r="B69"/>
      <c r="C69"/>
      <c r="D69"/>
      <c r="E69" s="7"/>
      <c r="F69"/>
      <c r="G69"/>
      <c r="H69" s="10"/>
      <c r="I69" s="10"/>
      <c r="J69" s="10"/>
      <c r="K69" s="10"/>
      <c r="L69" s="10"/>
      <c r="M69" s="51"/>
    </row>
    <row r="70" spans="1:13" x14ac:dyDescent="0.2">
      <c r="A70"/>
      <c r="B70"/>
      <c r="C70"/>
      <c r="D70"/>
      <c r="E70" s="7"/>
      <c r="F70"/>
      <c r="G70"/>
      <c r="H70" s="10"/>
      <c r="I70" s="10"/>
      <c r="J70" s="10"/>
      <c r="K70" s="10"/>
      <c r="L70" s="10"/>
      <c r="M70" s="51"/>
    </row>
    <row r="71" spans="1:13" x14ac:dyDescent="0.2">
      <c r="A71"/>
      <c r="B71"/>
      <c r="C71"/>
      <c r="D71"/>
      <c r="E71" s="7"/>
      <c r="F71"/>
      <c r="G71"/>
      <c r="H71" s="10"/>
      <c r="I71" s="10"/>
      <c r="J71" s="10"/>
      <c r="K71" s="10"/>
      <c r="L71" s="10"/>
      <c r="M71" s="51"/>
    </row>
    <row r="72" spans="1:13" x14ac:dyDescent="0.2">
      <c r="A72"/>
      <c r="B72"/>
      <c r="C72"/>
      <c r="D72"/>
      <c r="E72" s="7"/>
      <c r="F72"/>
      <c r="G72"/>
      <c r="H72" s="10"/>
      <c r="I72" s="10"/>
      <c r="J72" s="10"/>
      <c r="K72" s="10"/>
      <c r="L72" s="10"/>
      <c r="M72" s="51"/>
    </row>
    <row r="73" spans="1:13" x14ac:dyDescent="0.2">
      <c r="A73"/>
      <c r="B73"/>
      <c r="C73"/>
      <c r="D73"/>
      <c r="E73" s="7"/>
      <c r="F73"/>
      <c r="G73"/>
      <c r="H73" s="10"/>
      <c r="I73" s="10"/>
      <c r="J73" s="10"/>
      <c r="K73" s="10"/>
      <c r="L73" s="10"/>
      <c r="M73" s="51"/>
    </row>
    <row r="74" spans="1:13" x14ac:dyDescent="0.2">
      <c r="A74"/>
      <c r="B74"/>
      <c r="C74"/>
      <c r="D74"/>
      <c r="E74" s="7"/>
      <c r="F74"/>
      <c r="G74"/>
      <c r="H74" s="10"/>
      <c r="I74" s="10"/>
      <c r="J74" s="10"/>
      <c r="K74" s="10"/>
      <c r="L74" s="10"/>
      <c r="M74" s="51"/>
    </row>
    <row r="75" spans="1:13" x14ac:dyDescent="0.2">
      <c r="A75"/>
      <c r="B75"/>
      <c r="C75"/>
      <c r="D75"/>
      <c r="E75" s="7"/>
      <c r="F75"/>
      <c r="G75"/>
      <c r="H75" s="10"/>
      <c r="I75" s="10"/>
      <c r="J75" s="10"/>
      <c r="K75" s="10"/>
      <c r="L75" s="10"/>
      <c r="M75" s="51"/>
    </row>
    <row r="76" spans="1:13" x14ac:dyDescent="0.2">
      <c r="A76"/>
      <c r="B76"/>
      <c r="C76"/>
      <c r="D76"/>
      <c r="E76" s="7"/>
      <c r="F76"/>
      <c r="G76"/>
      <c r="H76" s="10"/>
      <c r="I76" s="10"/>
      <c r="J76" s="10"/>
      <c r="K76" s="10"/>
      <c r="L76" s="10"/>
      <c r="M76" s="51"/>
    </row>
    <row r="77" spans="1:13" x14ac:dyDescent="0.2">
      <c r="A77"/>
      <c r="B77"/>
      <c r="C77"/>
      <c r="D77"/>
      <c r="E77" s="7"/>
      <c r="F77"/>
      <c r="G77"/>
      <c r="H77" s="10"/>
      <c r="I77" s="10"/>
      <c r="J77" s="10"/>
      <c r="K77" s="10"/>
      <c r="L77" s="10"/>
      <c r="M77" s="51"/>
    </row>
    <row r="78" spans="1:13" ht="42.75" customHeight="1" x14ac:dyDescent="0.2">
      <c r="A78"/>
      <c r="B78"/>
      <c r="C78"/>
      <c r="D78"/>
      <c r="E78" s="7"/>
      <c r="F78"/>
      <c r="G78"/>
      <c r="H78" s="10"/>
      <c r="I78" s="10"/>
      <c r="J78" s="10"/>
      <c r="K78" s="10"/>
      <c r="L78" s="10"/>
      <c r="M78" s="51"/>
    </row>
    <row r="79" spans="1:13" x14ac:dyDescent="0.2">
      <c r="A79"/>
      <c r="B79"/>
      <c r="C79"/>
      <c r="D79"/>
      <c r="E79" s="7"/>
      <c r="F79"/>
      <c r="G79"/>
      <c r="H79" s="10"/>
      <c r="I79" s="10"/>
      <c r="J79" s="10"/>
      <c r="K79" s="10"/>
      <c r="L79" s="10"/>
      <c r="M79" s="51"/>
    </row>
    <row r="80" spans="1:13" ht="12.75" customHeight="1" x14ac:dyDescent="0.2">
      <c r="A80"/>
      <c r="B80"/>
      <c r="C80"/>
      <c r="D80"/>
      <c r="E80" s="7"/>
      <c r="F80"/>
      <c r="G80"/>
      <c r="H80" s="10"/>
      <c r="I80" s="10"/>
      <c r="J80" s="10"/>
      <c r="K80" s="10"/>
      <c r="L80" s="10"/>
      <c r="M80" s="51"/>
    </row>
    <row r="81" spans="1:13" ht="12.75" customHeight="1" x14ac:dyDescent="0.2">
      <c r="A81"/>
      <c r="B81"/>
      <c r="C81"/>
      <c r="D81"/>
      <c r="E81" s="7"/>
      <c r="F81"/>
      <c r="G81"/>
      <c r="H81" s="10"/>
      <c r="I81" s="10"/>
      <c r="J81" s="10"/>
      <c r="K81" s="10"/>
      <c r="L81" s="10"/>
      <c r="M81" s="51"/>
    </row>
    <row r="82" spans="1:13" x14ac:dyDescent="0.2">
      <c r="A82"/>
      <c r="B82"/>
      <c r="C82"/>
      <c r="D82"/>
      <c r="E82" s="7"/>
      <c r="F82"/>
      <c r="G82"/>
      <c r="H82" s="10"/>
      <c r="I82" s="10"/>
      <c r="J82" s="10"/>
      <c r="K82" s="10"/>
      <c r="L82" s="10"/>
      <c r="M82" s="51"/>
    </row>
    <row r="83" spans="1:13" x14ac:dyDescent="0.2">
      <c r="A83"/>
      <c r="B83"/>
      <c r="C83"/>
      <c r="D83"/>
      <c r="E83" s="7"/>
      <c r="F83"/>
      <c r="G83"/>
      <c r="H83" s="10"/>
      <c r="I83" s="10"/>
      <c r="J83" s="10"/>
      <c r="K83" s="10"/>
      <c r="L83" s="10"/>
      <c r="M83" s="51"/>
    </row>
    <row r="84" spans="1:13" x14ac:dyDescent="0.2">
      <c r="A84"/>
      <c r="B84"/>
      <c r="C84"/>
      <c r="D84"/>
      <c r="E84" s="7"/>
      <c r="F84"/>
      <c r="G84"/>
      <c r="H84" s="10"/>
      <c r="I84" s="10"/>
      <c r="J84" s="10"/>
      <c r="K84" s="10"/>
      <c r="L84" s="10"/>
      <c r="M84" s="51"/>
    </row>
    <row r="85" spans="1:13" x14ac:dyDescent="0.2">
      <c r="A85"/>
      <c r="B85"/>
      <c r="C85"/>
      <c r="D85"/>
      <c r="E85" s="7"/>
      <c r="F85"/>
      <c r="G85"/>
      <c r="H85" s="10"/>
      <c r="I85" s="10"/>
      <c r="J85" s="10"/>
      <c r="K85" s="10"/>
      <c r="L85" s="10"/>
      <c r="M85" s="51"/>
    </row>
    <row r="86" spans="1:13" x14ac:dyDescent="0.2">
      <c r="A86"/>
      <c r="B86"/>
      <c r="C86"/>
      <c r="D86"/>
      <c r="E86" s="7"/>
      <c r="F86"/>
      <c r="G86"/>
      <c r="H86" s="10"/>
      <c r="I86" s="10"/>
      <c r="J86" s="10"/>
      <c r="K86" s="10"/>
      <c r="L86" s="10"/>
      <c r="M86" s="51"/>
    </row>
    <row r="87" spans="1:13" x14ac:dyDescent="0.2">
      <c r="A87"/>
      <c r="B87"/>
      <c r="C87"/>
      <c r="D87"/>
      <c r="E87" s="7"/>
      <c r="F87"/>
      <c r="G87"/>
      <c r="H87" s="10"/>
      <c r="I87" s="10"/>
      <c r="J87" s="10"/>
      <c r="K87" s="10"/>
      <c r="L87" s="10"/>
      <c r="M87" s="51"/>
    </row>
    <row r="88" spans="1:13" x14ac:dyDescent="0.2">
      <c r="A88"/>
      <c r="B88"/>
      <c r="C88"/>
      <c r="D88"/>
      <c r="E88" s="7"/>
      <c r="F88"/>
      <c r="G88"/>
      <c r="H88" s="10"/>
      <c r="I88" s="10"/>
      <c r="J88" s="10"/>
      <c r="K88" s="10"/>
      <c r="L88" s="10"/>
      <c r="M88" s="51"/>
    </row>
    <row r="89" spans="1:13" x14ac:dyDescent="0.2">
      <c r="A89"/>
      <c r="B89"/>
      <c r="C89"/>
      <c r="D89"/>
      <c r="E89" s="7"/>
      <c r="F89"/>
      <c r="G89"/>
      <c r="H89" s="10"/>
      <c r="I89" s="10"/>
      <c r="J89" s="10"/>
      <c r="K89" s="10"/>
      <c r="L89" s="10"/>
      <c r="M89" s="51"/>
    </row>
    <row r="90" spans="1:13" x14ac:dyDescent="0.2">
      <c r="A90"/>
      <c r="B90"/>
      <c r="C90"/>
      <c r="D90"/>
      <c r="E90" s="7"/>
      <c r="F90"/>
      <c r="G90"/>
      <c r="H90" s="10"/>
      <c r="I90" s="10"/>
      <c r="J90" s="10"/>
      <c r="K90" s="10"/>
      <c r="L90" s="10"/>
      <c r="M90" s="51"/>
    </row>
    <row r="91" spans="1:13" x14ac:dyDescent="0.2">
      <c r="A91"/>
      <c r="B91"/>
      <c r="C91"/>
      <c r="D91"/>
      <c r="E91" s="7"/>
      <c r="F91"/>
      <c r="G91"/>
      <c r="H91" s="10"/>
      <c r="I91" s="10"/>
      <c r="J91" s="10"/>
      <c r="K91" s="10"/>
      <c r="L91" s="10"/>
      <c r="M91" s="51"/>
    </row>
    <row r="92" spans="1:13" x14ac:dyDescent="0.2">
      <c r="A92"/>
      <c r="B92"/>
      <c r="C92"/>
      <c r="D92"/>
      <c r="E92" s="7"/>
      <c r="F92"/>
      <c r="G92"/>
      <c r="H92" s="10"/>
      <c r="I92" s="10"/>
      <c r="J92" s="10"/>
      <c r="K92" s="10"/>
      <c r="L92" s="10"/>
      <c r="M92" s="51"/>
    </row>
    <row r="93" spans="1:13" x14ac:dyDescent="0.2">
      <c r="A93"/>
      <c r="B93"/>
      <c r="C93"/>
      <c r="D93"/>
      <c r="E93" s="7"/>
      <c r="F93"/>
      <c r="G93"/>
      <c r="H93" s="10"/>
      <c r="I93" s="10"/>
      <c r="J93" s="10"/>
      <c r="K93" s="10"/>
      <c r="L93" s="10"/>
      <c r="M93" s="51"/>
    </row>
    <row r="94" spans="1:13" x14ac:dyDescent="0.2">
      <c r="A94"/>
      <c r="B94"/>
      <c r="C94"/>
      <c r="D94"/>
      <c r="E94" s="7"/>
      <c r="F94"/>
      <c r="G94"/>
      <c r="H94" s="10"/>
      <c r="I94" s="10"/>
      <c r="J94" s="10"/>
      <c r="K94" s="10"/>
      <c r="L94" s="10"/>
      <c r="M94" s="51"/>
    </row>
    <row r="95" spans="1:13" x14ac:dyDescent="0.2">
      <c r="A95"/>
      <c r="B95"/>
      <c r="C95"/>
      <c r="D95"/>
      <c r="E95" s="7"/>
      <c r="F95"/>
      <c r="G95"/>
      <c r="H95" s="10"/>
      <c r="I95" s="10"/>
      <c r="J95" s="10"/>
      <c r="K95" s="10"/>
      <c r="L95" s="10"/>
      <c r="M95" s="51"/>
    </row>
    <row r="96" spans="1:13" x14ac:dyDescent="0.2">
      <c r="A96"/>
      <c r="B96"/>
      <c r="C96"/>
      <c r="D96"/>
      <c r="E96" s="7"/>
      <c r="F96"/>
      <c r="G96"/>
      <c r="H96" s="10"/>
      <c r="I96" s="10"/>
      <c r="J96" s="10"/>
      <c r="K96" s="10"/>
      <c r="L96" s="10"/>
      <c r="M96" s="51"/>
    </row>
    <row r="97" spans="1:13" x14ac:dyDescent="0.2">
      <c r="A97"/>
      <c r="B97"/>
      <c r="C97"/>
      <c r="D97"/>
      <c r="E97" s="7"/>
      <c r="F97"/>
      <c r="G97"/>
      <c r="H97" s="10"/>
      <c r="I97" s="10"/>
      <c r="J97" s="10"/>
      <c r="K97" s="10"/>
      <c r="L97" s="10"/>
      <c r="M97" s="51"/>
    </row>
    <row r="98" spans="1:13" x14ac:dyDescent="0.2">
      <c r="A98"/>
      <c r="B98"/>
      <c r="C98"/>
      <c r="D98"/>
      <c r="E98" s="7"/>
      <c r="F98"/>
      <c r="G98"/>
      <c r="H98" s="10"/>
      <c r="I98" s="10"/>
      <c r="J98" s="10"/>
      <c r="K98" s="10"/>
      <c r="L98" s="10"/>
      <c r="M98" s="51"/>
    </row>
    <row r="99" spans="1:13" x14ac:dyDescent="0.2">
      <c r="A99"/>
      <c r="B99"/>
      <c r="C99"/>
      <c r="D99"/>
      <c r="E99" s="7"/>
      <c r="F99"/>
      <c r="G99"/>
      <c r="H99" s="10"/>
      <c r="I99" s="10"/>
      <c r="J99" s="10"/>
      <c r="K99" s="10"/>
      <c r="L99" s="10"/>
      <c r="M99" s="51"/>
    </row>
    <row r="100" spans="1:13" x14ac:dyDescent="0.2">
      <c r="A100"/>
      <c r="B100"/>
      <c r="C100"/>
      <c r="D100"/>
      <c r="E100" s="7"/>
      <c r="F100"/>
      <c r="G100"/>
      <c r="H100" s="10"/>
      <c r="I100" s="10"/>
      <c r="J100" s="10"/>
      <c r="K100" s="10"/>
      <c r="L100" s="10"/>
      <c r="M100" s="51"/>
    </row>
    <row r="101" spans="1:13" x14ac:dyDescent="0.2">
      <c r="A101"/>
      <c r="B101"/>
      <c r="C101"/>
      <c r="D101"/>
      <c r="E101" s="7"/>
      <c r="F101"/>
      <c r="G101"/>
      <c r="H101" s="10"/>
      <c r="I101" s="10"/>
      <c r="J101" s="10"/>
      <c r="K101" s="10"/>
      <c r="L101" s="10"/>
      <c r="M101" s="51"/>
    </row>
    <row r="102" spans="1:13" x14ac:dyDescent="0.2">
      <c r="A102"/>
      <c r="B102"/>
      <c r="C102"/>
      <c r="D102"/>
      <c r="E102" s="7"/>
      <c r="F102"/>
      <c r="G102"/>
      <c r="H102" s="10"/>
      <c r="I102" s="10"/>
      <c r="J102" s="10"/>
      <c r="K102" s="10"/>
      <c r="L102" s="10"/>
      <c r="M102" s="51"/>
    </row>
    <row r="103" spans="1:13" x14ac:dyDescent="0.2">
      <c r="A103"/>
      <c r="B103"/>
      <c r="C103"/>
      <c r="D103"/>
      <c r="E103" s="7"/>
      <c r="F103"/>
      <c r="G103"/>
      <c r="H103" s="10"/>
      <c r="I103" s="10"/>
      <c r="J103" s="10"/>
      <c r="K103" s="10"/>
      <c r="L103" s="10"/>
      <c r="M103" s="51"/>
    </row>
    <row r="104" spans="1:13" x14ac:dyDescent="0.2">
      <c r="A104"/>
      <c r="B104"/>
      <c r="C104"/>
      <c r="D104"/>
      <c r="E104" s="7"/>
      <c r="F104"/>
      <c r="G104"/>
      <c r="H104" s="10"/>
      <c r="I104" s="10"/>
      <c r="J104" s="10"/>
      <c r="K104" s="10"/>
      <c r="L104" s="10"/>
      <c r="M104" s="51"/>
    </row>
    <row r="105" spans="1:13" x14ac:dyDescent="0.2">
      <c r="A105"/>
      <c r="B105"/>
      <c r="C105"/>
      <c r="D105"/>
      <c r="E105" s="7"/>
      <c r="F105"/>
      <c r="G105"/>
      <c r="H105" s="10"/>
      <c r="I105" s="10"/>
      <c r="J105" s="10"/>
      <c r="K105" s="10"/>
      <c r="L105" s="10"/>
      <c r="M105" s="51"/>
    </row>
    <row r="106" spans="1:13" x14ac:dyDescent="0.2">
      <c r="A106"/>
      <c r="B106"/>
      <c r="C106"/>
      <c r="D106"/>
      <c r="E106" s="7"/>
      <c r="F106"/>
      <c r="G106"/>
      <c r="H106" s="10"/>
      <c r="I106" s="10"/>
      <c r="J106" s="10"/>
      <c r="K106" s="10"/>
      <c r="L106" s="10"/>
      <c r="M106" s="51"/>
    </row>
    <row r="107" spans="1:13" x14ac:dyDescent="0.2">
      <c r="A107"/>
      <c r="B107"/>
      <c r="C107"/>
      <c r="D107"/>
      <c r="E107" s="7"/>
      <c r="F107"/>
      <c r="G107"/>
      <c r="H107" s="10"/>
      <c r="I107" s="10"/>
      <c r="J107" s="10"/>
      <c r="K107" s="10"/>
      <c r="L107" s="10"/>
      <c r="M107" s="51"/>
    </row>
    <row r="108" spans="1:13" x14ac:dyDescent="0.2">
      <c r="A108"/>
      <c r="B108"/>
      <c r="C108"/>
      <c r="D108"/>
      <c r="E108" s="7"/>
      <c r="F108"/>
      <c r="G108"/>
      <c r="H108" s="10"/>
      <c r="I108" s="10"/>
      <c r="J108" s="10"/>
      <c r="K108" s="10"/>
      <c r="L108" s="10"/>
      <c r="M108" s="51"/>
    </row>
    <row r="109" spans="1:13" x14ac:dyDescent="0.2">
      <c r="A109"/>
      <c r="B109"/>
      <c r="C109"/>
      <c r="D109"/>
      <c r="E109" s="7"/>
      <c r="F109"/>
      <c r="G109"/>
      <c r="H109" s="10"/>
      <c r="I109" s="10"/>
      <c r="J109" s="10"/>
      <c r="K109" s="10"/>
      <c r="L109" s="10"/>
      <c r="M109" s="51"/>
    </row>
    <row r="110" spans="1:13" x14ac:dyDescent="0.2">
      <c r="A110"/>
      <c r="B110"/>
      <c r="C110"/>
      <c r="D110"/>
      <c r="E110" s="7"/>
      <c r="F110"/>
      <c r="G110"/>
      <c r="H110" s="10"/>
      <c r="I110" s="10"/>
      <c r="J110" s="10"/>
      <c r="K110" s="10"/>
      <c r="L110" s="10"/>
      <c r="M110" s="51"/>
    </row>
    <row r="111" spans="1:13" x14ac:dyDescent="0.2">
      <c r="A111"/>
      <c r="B111"/>
      <c r="C111"/>
      <c r="D111"/>
      <c r="E111" s="7"/>
      <c r="F111"/>
      <c r="G111"/>
      <c r="H111" s="10"/>
      <c r="I111" s="10"/>
      <c r="J111" s="10"/>
      <c r="K111" s="10"/>
      <c r="L111" s="10"/>
      <c r="M111" s="51"/>
    </row>
    <row r="112" spans="1:13" x14ac:dyDescent="0.2">
      <c r="A112"/>
      <c r="B112"/>
      <c r="C112"/>
      <c r="D112"/>
      <c r="E112" s="7"/>
      <c r="F112"/>
      <c r="G112"/>
      <c r="H112" s="10"/>
      <c r="I112" s="10"/>
      <c r="J112" s="10"/>
      <c r="K112" s="10"/>
      <c r="L112" s="10"/>
      <c r="M112" s="51"/>
    </row>
    <row r="113" spans="1:13" x14ac:dyDescent="0.2">
      <c r="A113"/>
      <c r="B113"/>
      <c r="C113"/>
      <c r="D113"/>
      <c r="E113" s="7"/>
      <c r="F113"/>
      <c r="G113"/>
      <c r="H113" s="10"/>
      <c r="I113" s="10"/>
      <c r="J113" s="10"/>
      <c r="K113" s="10"/>
      <c r="L113" s="10"/>
      <c r="M113" s="51"/>
    </row>
    <row r="114" spans="1:13" x14ac:dyDescent="0.2">
      <c r="A114"/>
      <c r="B114"/>
      <c r="C114"/>
      <c r="D114"/>
      <c r="E114" s="7"/>
      <c r="F114"/>
      <c r="G114"/>
      <c r="H114" s="10"/>
      <c r="I114" s="10"/>
      <c r="J114" s="10"/>
      <c r="K114" s="10"/>
      <c r="L114" s="10"/>
      <c r="M114" s="51"/>
    </row>
    <row r="115" spans="1:13" x14ac:dyDescent="0.2">
      <c r="A115"/>
      <c r="B115"/>
      <c r="C115"/>
      <c r="D115"/>
      <c r="E115" s="7"/>
      <c r="F115"/>
      <c r="G115"/>
      <c r="H115" s="10"/>
      <c r="I115" s="10"/>
      <c r="J115" s="10"/>
      <c r="K115" s="10"/>
      <c r="L115" s="10"/>
      <c r="M115" s="51"/>
    </row>
    <row r="116" spans="1:13" x14ac:dyDescent="0.2">
      <c r="A116"/>
      <c r="B116"/>
      <c r="C116"/>
      <c r="D116"/>
      <c r="E116" s="7"/>
      <c r="F116"/>
      <c r="G116"/>
      <c r="H116" s="10"/>
      <c r="I116" s="10"/>
      <c r="J116" s="10"/>
      <c r="K116" s="10"/>
      <c r="L116" s="10"/>
      <c r="M116" s="51"/>
    </row>
    <row r="117" spans="1:13" x14ac:dyDescent="0.2">
      <c r="A117"/>
      <c r="B117"/>
      <c r="C117"/>
      <c r="D117"/>
      <c r="E117" s="7"/>
      <c r="F117"/>
      <c r="G117"/>
      <c r="H117" s="10"/>
      <c r="I117" s="10"/>
      <c r="J117" s="10"/>
      <c r="K117" s="10"/>
      <c r="L117" s="10"/>
      <c r="M117" s="51"/>
    </row>
    <row r="118" spans="1:13" x14ac:dyDescent="0.2">
      <c r="A118"/>
      <c r="B118"/>
      <c r="C118"/>
      <c r="D118"/>
      <c r="E118" s="7"/>
      <c r="F118"/>
      <c r="G118"/>
      <c r="H118" s="10"/>
      <c r="I118" s="10"/>
      <c r="J118" s="10"/>
      <c r="K118" s="10"/>
      <c r="L118" s="10"/>
      <c r="M118" s="51"/>
    </row>
    <row r="119" spans="1:13" x14ac:dyDescent="0.2">
      <c r="A119"/>
      <c r="B119"/>
      <c r="C119"/>
      <c r="D119"/>
      <c r="E119" s="7"/>
      <c r="F119"/>
      <c r="G119"/>
      <c r="H119" s="10"/>
      <c r="I119" s="10"/>
      <c r="J119" s="10"/>
      <c r="K119" s="10"/>
      <c r="L119" s="10"/>
      <c r="M119" s="51"/>
    </row>
    <row r="120" spans="1:13" x14ac:dyDescent="0.2">
      <c r="A120"/>
      <c r="B120"/>
      <c r="C120"/>
      <c r="D120"/>
      <c r="E120" s="7"/>
      <c r="F120"/>
      <c r="G120"/>
      <c r="H120" s="10"/>
      <c r="I120" s="10"/>
      <c r="J120" s="10"/>
      <c r="K120" s="10"/>
      <c r="L120" s="10"/>
      <c r="M120" s="51"/>
    </row>
    <row r="121" spans="1:13" x14ac:dyDescent="0.2">
      <c r="A121"/>
      <c r="B121"/>
      <c r="C121"/>
      <c r="D121"/>
      <c r="E121" s="7"/>
      <c r="F121"/>
      <c r="G121"/>
      <c r="H121" s="10"/>
      <c r="I121" s="10"/>
      <c r="J121" s="10"/>
      <c r="K121" s="10"/>
      <c r="L121" s="10"/>
      <c r="M121" s="51"/>
    </row>
    <row r="122" spans="1:13" x14ac:dyDescent="0.2">
      <c r="A122"/>
      <c r="B122"/>
      <c r="C122"/>
      <c r="D122"/>
      <c r="E122" s="7"/>
      <c r="F122"/>
      <c r="G122"/>
      <c r="H122" s="10"/>
      <c r="I122" s="10"/>
      <c r="J122" s="10"/>
      <c r="K122" s="10"/>
      <c r="L122" s="10"/>
      <c r="M122" s="51"/>
    </row>
    <row r="123" spans="1:13" x14ac:dyDescent="0.2">
      <c r="A123"/>
      <c r="B123"/>
      <c r="C123"/>
      <c r="D123"/>
      <c r="E123" s="7"/>
      <c r="F123"/>
      <c r="G123"/>
      <c r="H123" s="10"/>
      <c r="I123" s="10"/>
      <c r="J123" s="10"/>
      <c r="K123" s="10"/>
      <c r="L123" s="10"/>
      <c r="M123" s="51"/>
    </row>
    <row r="124" spans="1:13" x14ac:dyDescent="0.2">
      <c r="A124"/>
      <c r="B124"/>
      <c r="C124"/>
      <c r="D124"/>
      <c r="E124" s="7"/>
      <c r="F124"/>
      <c r="G124"/>
      <c r="H124" s="10"/>
      <c r="I124" s="10"/>
      <c r="J124" s="10"/>
      <c r="K124" s="10"/>
      <c r="L124" s="10"/>
      <c r="M124" s="51"/>
    </row>
    <row r="125" spans="1:13" x14ac:dyDescent="0.2">
      <c r="A125"/>
      <c r="B125"/>
      <c r="C125"/>
      <c r="D125"/>
      <c r="E125" s="7"/>
      <c r="F125"/>
      <c r="G125"/>
      <c r="H125" s="10"/>
      <c r="I125" s="10"/>
      <c r="J125" s="10"/>
      <c r="K125" s="10"/>
      <c r="L125" s="10"/>
      <c r="M125" s="51"/>
    </row>
    <row r="126" spans="1:13" x14ac:dyDescent="0.2">
      <c r="A126"/>
      <c r="B126"/>
      <c r="C126"/>
      <c r="D126"/>
      <c r="E126" s="7"/>
      <c r="F126"/>
      <c r="G126"/>
      <c r="H126" s="10"/>
      <c r="I126" s="10"/>
      <c r="J126" s="10"/>
      <c r="K126" s="10"/>
      <c r="L126" s="10"/>
      <c r="M126" s="51"/>
    </row>
    <row r="127" spans="1:13" x14ac:dyDescent="0.2">
      <c r="A127"/>
      <c r="B127"/>
      <c r="C127"/>
      <c r="D127"/>
      <c r="E127" s="7"/>
      <c r="F127"/>
      <c r="G127"/>
      <c r="H127" s="10"/>
      <c r="I127" s="10"/>
      <c r="J127" s="10"/>
      <c r="K127" s="10"/>
      <c r="L127" s="10"/>
      <c r="M127" s="51"/>
    </row>
    <row r="128" spans="1:13" x14ac:dyDescent="0.2">
      <c r="A128"/>
      <c r="B128"/>
      <c r="C128"/>
      <c r="D128"/>
      <c r="E128" s="7"/>
      <c r="F128"/>
      <c r="G128"/>
      <c r="H128" s="10"/>
      <c r="I128" s="10"/>
      <c r="J128" s="10"/>
      <c r="K128" s="10"/>
      <c r="L128" s="10"/>
      <c r="M128" s="51"/>
    </row>
    <row r="129" spans="1:13" x14ac:dyDescent="0.2">
      <c r="A129"/>
      <c r="B129"/>
      <c r="C129"/>
      <c r="D129"/>
      <c r="E129" s="7"/>
      <c r="F129"/>
      <c r="G129"/>
      <c r="H129" s="10"/>
      <c r="I129" s="10"/>
      <c r="J129" s="10"/>
      <c r="K129" s="10"/>
      <c r="L129" s="10"/>
      <c r="M129" s="51"/>
    </row>
    <row r="130" spans="1:13" x14ac:dyDescent="0.2">
      <c r="A130"/>
      <c r="B130"/>
      <c r="C130"/>
      <c r="D130"/>
      <c r="E130" s="7"/>
      <c r="F130"/>
      <c r="G130"/>
      <c r="H130" s="10"/>
      <c r="I130" s="10"/>
      <c r="J130" s="10"/>
      <c r="K130" s="10"/>
      <c r="L130" s="10"/>
      <c r="M130" s="51"/>
    </row>
    <row r="131" spans="1:13" x14ac:dyDescent="0.2">
      <c r="A131"/>
      <c r="B131"/>
      <c r="C131"/>
      <c r="D131"/>
      <c r="E131" s="7"/>
      <c r="F131"/>
      <c r="G131"/>
      <c r="H131" s="10"/>
      <c r="I131" s="10"/>
      <c r="J131" s="10"/>
      <c r="K131" s="10"/>
      <c r="L131" s="10"/>
      <c r="M131" s="51"/>
    </row>
    <row r="132" spans="1:13" x14ac:dyDescent="0.2">
      <c r="A132"/>
      <c r="B132"/>
      <c r="C132"/>
      <c r="D132"/>
      <c r="E132" s="7"/>
      <c r="F132"/>
      <c r="G132"/>
      <c r="H132" s="10"/>
      <c r="I132" s="10"/>
      <c r="J132" s="10"/>
      <c r="K132" s="10"/>
      <c r="L132" s="10"/>
      <c r="M132" s="51"/>
    </row>
    <row r="133" spans="1:13" x14ac:dyDescent="0.2">
      <c r="A133"/>
      <c r="B133"/>
      <c r="C133"/>
      <c r="D133"/>
      <c r="E133" s="7"/>
      <c r="F133"/>
      <c r="G133"/>
      <c r="H133" s="10"/>
      <c r="I133" s="10"/>
      <c r="J133" s="10"/>
      <c r="K133" s="10"/>
      <c r="L133" s="10"/>
      <c r="M133" s="51"/>
    </row>
    <row r="134" spans="1:13" x14ac:dyDescent="0.2">
      <c r="A134"/>
      <c r="B134"/>
      <c r="C134"/>
      <c r="D134"/>
      <c r="E134" s="7"/>
      <c r="F134"/>
      <c r="G134"/>
      <c r="H134" s="10"/>
      <c r="I134" s="10"/>
      <c r="J134" s="10"/>
      <c r="K134" s="10"/>
      <c r="L134" s="10"/>
      <c r="M134" s="51"/>
    </row>
    <row r="135" spans="1:13" x14ac:dyDescent="0.2">
      <c r="A135"/>
      <c r="B135"/>
      <c r="C135"/>
      <c r="D135"/>
      <c r="E135" s="7"/>
      <c r="F135"/>
      <c r="G135"/>
      <c r="H135" s="10"/>
      <c r="I135" s="10"/>
      <c r="J135" s="10"/>
      <c r="K135" s="10"/>
      <c r="L135" s="10"/>
      <c r="M135" s="51"/>
    </row>
    <row r="136" spans="1:13" x14ac:dyDescent="0.2">
      <c r="A136"/>
      <c r="B136"/>
      <c r="C136"/>
      <c r="D136"/>
      <c r="E136" s="7"/>
      <c r="F136"/>
      <c r="G136"/>
      <c r="H136" s="10"/>
      <c r="I136" s="10"/>
      <c r="J136" s="10"/>
      <c r="K136" s="10"/>
      <c r="L136" s="10"/>
      <c r="M136" s="51"/>
    </row>
    <row r="137" spans="1:13" x14ac:dyDescent="0.2">
      <c r="A137"/>
      <c r="B137"/>
      <c r="C137"/>
      <c r="D137"/>
      <c r="E137" s="7"/>
      <c r="F137"/>
      <c r="G137"/>
      <c r="H137" s="10"/>
      <c r="I137" s="10"/>
      <c r="J137" s="10"/>
      <c r="K137" s="10"/>
      <c r="L137" s="10"/>
      <c r="M137" s="51"/>
    </row>
    <row r="138" spans="1:13" x14ac:dyDescent="0.2">
      <c r="A138"/>
      <c r="B138"/>
      <c r="C138"/>
      <c r="D138"/>
      <c r="E138" s="7"/>
      <c r="F138"/>
      <c r="G138"/>
      <c r="H138" s="10"/>
      <c r="I138" s="10"/>
      <c r="J138" s="10"/>
      <c r="K138" s="10"/>
      <c r="L138" s="10"/>
      <c r="M138" s="51"/>
    </row>
    <row r="139" spans="1:13" x14ac:dyDescent="0.2">
      <c r="A139"/>
      <c r="B139"/>
      <c r="C139"/>
      <c r="D139"/>
      <c r="E139" s="7"/>
      <c r="F139"/>
      <c r="G139"/>
      <c r="H139" s="10"/>
      <c r="I139" s="10"/>
      <c r="J139" s="10"/>
      <c r="K139" s="10"/>
      <c r="L139" s="10"/>
      <c r="M139" s="51"/>
    </row>
    <row r="140" spans="1:13" x14ac:dyDescent="0.2">
      <c r="A140"/>
      <c r="B140"/>
      <c r="C140"/>
      <c r="D140"/>
      <c r="E140" s="7"/>
      <c r="F140"/>
      <c r="G140"/>
      <c r="H140" s="10"/>
      <c r="I140" s="10"/>
      <c r="J140" s="10"/>
      <c r="K140" s="10"/>
      <c r="L140" s="10"/>
      <c r="M140" s="51"/>
    </row>
    <row r="141" spans="1:13" x14ac:dyDescent="0.2">
      <c r="A141"/>
      <c r="B141"/>
      <c r="C141"/>
      <c r="D141"/>
      <c r="E141" s="7"/>
      <c r="F141"/>
      <c r="G141"/>
      <c r="H141" s="10"/>
      <c r="I141" s="10"/>
      <c r="J141" s="10"/>
      <c r="K141" s="10"/>
      <c r="L141" s="10"/>
      <c r="M141" s="51"/>
    </row>
    <row r="142" spans="1:13" x14ac:dyDescent="0.2">
      <c r="A142"/>
      <c r="B142"/>
      <c r="C142"/>
      <c r="D142"/>
      <c r="E142" s="7"/>
      <c r="F142"/>
      <c r="G142"/>
      <c r="H142" s="10"/>
      <c r="I142" s="10"/>
      <c r="J142" s="10"/>
      <c r="K142" s="10"/>
      <c r="L142" s="10"/>
      <c r="M142" s="51"/>
    </row>
    <row r="143" spans="1:13" x14ac:dyDescent="0.2">
      <c r="A143"/>
      <c r="B143"/>
      <c r="C143"/>
      <c r="D143"/>
      <c r="E143" s="7"/>
      <c r="F143"/>
      <c r="G143"/>
      <c r="H143" s="10"/>
      <c r="I143" s="10"/>
      <c r="J143" s="10"/>
      <c r="K143" s="10"/>
      <c r="L143" s="10"/>
      <c r="M143" s="51"/>
    </row>
    <row r="144" spans="1:13" x14ac:dyDescent="0.2">
      <c r="A144"/>
      <c r="B144"/>
      <c r="C144"/>
      <c r="D144"/>
      <c r="E144" s="7"/>
      <c r="F144"/>
      <c r="G144"/>
      <c r="H144" s="10"/>
      <c r="I144" s="10"/>
      <c r="J144" s="10"/>
      <c r="K144" s="10"/>
      <c r="L144" s="10"/>
      <c r="M144" s="51"/>
    </row>
    <row r="145" spans="1:13" x14ac:dyDescent="0.2">
      <c r="A145"/>
      <c r="B145"/>
      <c r="C145"/>
      <c r="D145"/>
      <c r="E145" s="7"/>
      <c r="F145"/>
      <c r="G145"/>
      <c r="H145" s="10"/>
      <c r="I145" s="10"/>
      <c r="J145" s="10"/>
      <c r="K145" s="10"/>
      <c r="L145" s="10"/>
      <c r="M145" s="51"/>
    </row>
    <row r="146" spans="1:13" x14ac:dyDescent="0.2">
      <c r="A146"/>
      <c r="B146"/>
      <c r="C146"/>
      <c r="D146"/>
      <c r="E146" s="7"/>
      <c r="F146"/>
      <c r="G146"/>
      <c r="H146" s="10"/>
      <c r="I146" s="10"/>
      <c r="J146" s="10"/>
      <c r="K146" s="10"/>
      <c r="L146" s="10"/>
      <c r="M146" s="51"/>
    </row>
    <row r="147" spans="1:13" x14ac:dyDescent="0.2">
      <c r="A147"/>
      <c r="B147"/>
      <c r="C147"/>
      <c r="D147"/>
      <c r="E147" s="7"/>
      <c r="F147"/>
      <c r="G147"/>
      <c r="H147" s="10"/>
      <c r="I147" s="10"/>
      <c r="J147" s="10"/>
      <c r="K147" s="10"/>
      <c r="L147" s="10"/>
      <c r="M147" s="51"/>
    </row>
    <row r="148" spans="1:13" x14ac:dyDescent="0.2">
      <c r="A148"/>
      <c r="B148"/>
      <c r="C148"/>
      <c r="D148"/>
      <c r="E148" s="7"/>
      <c r="F148"/>
      <c r="G148"/>
      <c r="H148" s="10"/>
      <c r="I148" s="10"/>
      <c r="J148" s="10"/>
      <c r="K148" s="10"/>
      <c r="L148" s="10"/>
      <c r="M148" s="51"/>
    </row>
    <row r="149" spans="1:13" x14ac:dyDescent="0.2">
      <c r="A149"/>
      <c r="B149"/>
      <c r="C149"/>
      <c r="D149"/>
      <c r="E149" s="7"/>
      <c r="F149"/>
      <c r="G149"/>
      <c r="H149" s="10"/>
      <c r="I149" s="10"/>
      <c r="J149" s="10"/>
      <c r="K149" s="10"/>
      <c r="L149" s="10"/>
      <c r="M149" s="51"/>
    </row>
    <row r="150" spans="1:13" x14ac:dyDescent="0.2">
      <c r="A150"/>
      <c r="B150"/>
      <c r="C150"/>
      <c r="D150"/>
      <c r="E150" s="7"/>
      <c r="F150"/>
      <c r="G150"/>
      <c r="H150" s="10"/>
      <c r="I150" s="10"/>
      <c r="J150" s="10"/>
      <c r="K150" s="10"/>
      <c r="L150" s="10"/>
      <c r="M150" s="51"/>
    </row>
    <row r="151" spans="1:13" x14ac:dyDescent="0.2">
      <c r="A151"/>
      <c r="B151"/>
      <c r="C151"/>
      <c r="D151"/>
      <c r="E151" s="7"/>
      <c r="F151"/>
      <c r="G151"/>
      <c r="H151" s="10"/>
      <c r="I151" s="10"/>
      <c r="J151" s="10"/>
      <c r="K151" s="10"/>
      <c r="L151" s="10"/>
      <c r="M151" s="51"/>
    </row>
    <row r="152" spans="1:13" x14ac:dyDescent="0.2">
      <c r="A152"/>
      <c r="B152"/>
      <c r="C152"/>
      <c r="D152"/>
      <c r="E152" s="7"/>
      <c r="F152"/>
      <c r="G152"/>
      <c r="H152" s="10"/>
      <c r="I152" s="10"/>
      <c r="J152" s="10"/>
      <c r="K152" s="10"/>
      <c r="L152" s="10"/>
      <c r="M152" s="51"/>
    </row>
    <row r="153" spans="1:13" x14ac:dyDescent="0.2">
      <c r="A153"/>
      <c r="B153"/>
      <c r="C153"/>
      <c r="D153"/>
      <c r="E153" s="7"/>
      <c r="F153"/>
      <c r="G153"/>
      <c r="H153" s="10"/>
      <c r="I153" s="10"/>
      <c r="J153" s="10"/>
      <c r="K153" s="10"/>
      <c r="L153" s="10"/>
      <c r="M153" s="51"/>
    </row>
    <row r="154" spans="1:13" x14ac:dyDescent="0.2">
      <c r="A154"/>
      <c r="B154"/>
      <c r="C154"/>
      <c r="D154"/>
      <c r="E154" s="7"/>
      <c r="F154"/>
      <c r="G154"/>
      <c r="H154" s="10"/>
      <c r="I154" s="10"/>
      <c r="J154" s="10"/>
      <c r="K154" s="10"/>
      <c r="L154" s="10"/>
      <c r="M154" s="51"/>
    </row>
    <row r="155" spans="1:13" x14ac:dyDescent="0.2">
      <c r="A155"/>
      <c r="B155"/>
      <c r="C155"/>
      <c r="D155"/>
      <c r="E155" s="7"/>
      <c r="F155"/>
      <c r="G155"/>
      <c r="H155" s="10"/>
      <c r="I155" s="10"/>
      <c r="J155" s="10"/>
      <c r="K155" s="10"/>
      <c r="L155" s="10"/>
      <c r="M155" s="51"/>
    </row>
    <row r="156" spans="1:13" x14ac:dyDescent="0.2">
      <c r="A156"/>
      <c r="B156"/>
      <c r="C156"/>
      <c r="D156"/>
      <c r="E156" s="7"/>
      <c r="F156"/>
      <c r="G156"/>
      <c r="H156" s="10"/>
      <c r="I156" s="10"/>
      <c r="J156" s="10"/>
      <c r="K156" s="10"/>
      <c r="L156" s="10"/>
      <c r="M156" s="51"/>
    </row>
    <row r="157" spans="1:13" x14ac:dyDescent="0.2">
      <c r="A157"/>
      <c r="B157"/>
      <c r="C157"/>
      <c r="D157"/>
      <c r="E157" s="7"/>
      <c r="F157"/>
      <c r="G157"/>
      <c r="H157" s="10"/>
      <c r="I157" s="10"/>
      <c r="J157" s="10"/>
      <c r="K157" s="10"/>
      <c r="L157" s="10"/>
      <c r="M157" s="51"/>
    </row>
    <row r="158" spans="1:13" x14ac:dyDescent="0.2">
      <c r="A158"/>
      <c r="B158"/>
      <c r="C158"/>
      <c r="D158"/>
      <c r="E158" s="7"/>
      <c r="F158"/>
      <c r="G158"/>
      <c r="H158" s="10"/>
      <c r="I158" s="10"/>
      <c r="J158" s="10"/>
      <c r="K158" s="10"/>
      <c r="L158" s="10"/>
      <c r="M158" s="51"/>
    </row>
    <row r="159" spans="1:13" x14ac:dyDescent="0.2">
      <c r="A159"/>
      <c r="B159"/>
      <c r="C159"/>
      <c r="D159"/>
      <c r="E159" s="7"/>
      <c r="F159"/>
      <c r="G159"/>
      <c r="H159" s="10"/>
      <c r="I159" s="10"/>
      <c r="J159" s="10"/>
      <c r="K159" s="10"/>
      <c r="L159" s="10"/>
      <c r="M159" s="51"/>
    </row>
    <row r="160" spans="1:13" x14ac:dyDescent="0.2">
      <c r="A160"/>
      <c r="B160"/>
      <c r="C160"/>
      <c r="D160"/>
      <c r="E160" s="7"/>
      <c r="F160"/>
      <c r="G160"/>
      <c r="H160" s="10"/>
      <c r="I160" s="10"/>
      <c r="J160" s="10"/>
      <c r="K160" s="10"/>
      <c r="L160" s="10"/>
      <c r="M160" s="51"/>
    </row>
    <row r="161" spans="1:13" x14ac:dyDescent="0.2">
      <c r="A161"/>
      <c r="B161"/>
      <c r="C161"/>
      <c r="D161"/>
      <c r="E161" s="7"/>
      <c r="F161"/>
      <c r="G161"/>
      <c r="H161" s="10"/>
      <c r="I161" s="10"/>
      <c r="J161" s="10"/>
      <c r="K161" s="10"/>
      <c r="L161" s="10"/>
      <c r="M161" s="51"/>
    </row>
    <row r="162" spans="1:13" x14ac:dyDescent="0.2">
      <c r="A162"/>
      <c r="B162"/>
      <c r="C162"/>
      <c r="D162"/>
      <c r="E162" s="7"/>
      <c r="F162"/>
      <c r="G162"/>
      <c r="H162" s="10"/>
      <c r="I162" s="10"/>
      <c r="J162" s="10"/>
      <c r="K162" s="10"/>
      <c r="L162" s="10"/>
      <c r="M162" s="51"/>
    </row>
    <row r="163" spans="1:13" x14ac:dyDescent="0.2">
      <c r="A163"/>
      <c r="B163"/>
      <c r="C163"/>
      <c r="D163"/>
      <c r="E163" s="7"/>
      <c r="F163"/>
      <c r="G163"/>
      <c r="H163" s="10"/>
      <c r="I163" s="10"/>
      <c r="J163" s="10"/>
      <c r="K163" s="10"/>
      <c r="L163" s="10"/>
      <c r="M163" s="51"/>
    </row>
    <row r="164" spans="1:13" x14ac:dyDescent="0.2">
      <c r="A164"/>
      <c r="B164"/>
      <c r="C164"/>
      <c r="D164"/>
      <c r="E164" s="7"/>
      <c r="F164"/>
      <c r="G164"/>
      <c r="H164" s="10"/>
      <c r="I164" s="10"/>
      <c r="J164" s="10"/>
      <c r="K164" s="10"/>
      <c r="L164" s="10"/>
      <c r="M164" s="51"/>
    </row>
    <row r="165" spans="1:13" x14ac:dyDescent="0.2">
      <c r="A165"/>
      <c r="B165"/>
      <c r="C165"/>
      <c r="D165"/>
      <c r="E165" s="7"/>
      <c r="F165"/>
      <c r="G165"/>
      <c r="H165" s="10"/>
      <c r="I165" s="10"/>
      <c r="J165" s="10"/>
      <c r="K165" s="10"/>
      <c r="L165" s="10"/>
      <c r="M165" s="51"/>
    </row>
    <row r="166" spans="1:13" x14ac:dyDescent="0.2">
      <c r="A166"/>
      <c r="B166"/>
      <c r="C166"/>
      <c r="D166"/>
      <c r="E166" s="7"/>
      <c r="F166"/>
      <c r="G166"/>
      <c r="H166" s="10"/>
      <c r="I166" s="10"/>
      <c r="J166" s="10"/>
      <c r="K166" s="10"/>
      <c r="L166" s="10"/>
      <c r="M166" s="51"/>
    </row>
    <row r="167" spans="1:13" x14ac:dyDescent="0.2">
      <c r="A167"/>
      <c r="B167"/>
      <c r="C167"/>
      <c r="D167"/>
      <c r="E167" s="7"/>
      <c r="F167"/>
      <c r="G167"/>
      <c r="H167" s="10"/>
      <c r="I167" s="10"/>
      <c r="J167" s="10"/>
      <c r="K167" s="10"/>
      <c r="L167" s="10"/>
      <c r="M167" s="51"/>
    </row>
    <row r="168" spans="1:13" x14ac:dyDescent="0.2">
      <c r="A168"/>
      <c r="B168"/>
      <c r="C168"/>
      <c r="D168"/>
      <c r="E168" s="7"/>
      <c r="F168"/>
      <c r="G168"/>
      <c r="H168" s="10"/>
      <c r="I168" s="10"/>
      <c r="J168" s="10"/>
      <c r="K168" s="10"/>
      <c r="L168" s="10"/>
      <c r="M168" s="51"/>
    </row>
    <row r="169" spans="1:13" x14ac:dyDescent="0.2">
      <c r="A169"/>
      <c r="B169"/>
      <c r="C169"/>
      <c r="D169"/>
      <c r="E169" s="7"/>
      <c r="F169"/>
      <c r="G169"/>
      <c r="H169" s="10"/>
      <c r="I169" s="10"/>
      <c r="J169" s="10"/>
      <c r="K169" s="10"/>
      <c r="L169" s="10"/>
      <c r="M169" s="51"/>
    </row>
    <row r="170" spans="1:13" x14ac:dyDescent="0.2">
      <c r="A170"/>
      <c r="B170"/>
      <c r="C170"/>
      <c r="D170"/>
      <c r="E170" s="7"/>
      <c r="F170"/>
      <c r="G170"/>
      <c r="H170" s="10"/>
      <c r="I170" s="10"/>
      <c r="J170" s="10"/>
      <c r="K170" s="10"/>
      <c r="L170" s="10"/>
      <c r="M170" s="51"/>
    </row>
    <row r="171" spans="1:13" x14ac:dyDescent="0.2">
      <c r="A171"/>
      <c r="B171"/>
      <c r="C171"/>
      <c r="D171"/>
      <c r="E171" s="7"/>
      <c r="F171"/>
      <c r="G171"/>
      <c r="H171" s="10"/>
      <c r="I171" s="10"/>
      <c r="J171" s="10"/>
      <c r="K171" s="10"/>
      <c r="L171" s="10"/>
      <c r="M171" s="51"/>
    </row>
    <row r="172" spans="1:13" x14ac:dyDescent="0.2">
      <c r="A172"/>
      <c r="B172"/>
      <c r="C172"/>
      <c r="D172"/>
      <c r="E172" s="7"/>
      <c r="F172"/>
      <c r="G172"/>
      <c r="H172" s="10"/>
      <c r="I172" s="10"/>
      <c r="J172" s="10"/>
      <c r="K172" s="10"/>
      <c r="L172" s="10"/>
      <c r="M172" s="51"/>
    </row>
    <row r="173" spans="1:13" x14ac:dyDescent="0.2">
      <c r="A173"/>
      <c r="B173"/>
      <c r="C173"/>
      <c r="D173"/>
      <c r="E173" s="7"/>
      <c r="F173"/>
      <c r="G173"/>
      <c r="H173" s="10"/>
      <c r="I173" s="10"/>
      <c r="J173" s="10"/>
      <c r="K173" s="10"/>
      <c r="L173" s="10"/>
      <c r="M173" s="51"/>
    </row>
    <row r="174" spans="1:13" x14ac:dyDescent="0.2">
      <c r="A174"/>
      <c r="B174"/>
      <c r="C174"/>
      <c r="D174"/>
      <c r="E174" s="7"/>
      <c r="F174"/>
      <c r="G174"/>
      <c r="H174" s="10"/>
      <c r="I174" s="10"/>
      <c r="J174" s="10"/>
      <c r="K174" s="10"/>
      <c r="L174" s="10"/>
      <c r="M174" s="51"/>
    </row>
    <row r="175" spans="1:13" x14ac:dyDescent="0.2">
      <c r="A175"/>
      <c r="B175"/>
      <c r="C175"/>
      <c r="D175"/>
      <c r="E175" s="7"/>
      <c r="F175"/>
      <c r="G175"/>
      <c r="H175" s="10"/>
      <c r="I175" s="10"/>
      <c r="J175" s="10"/>
      <c r="K175" s="10"/>
      <c r="L175" s="10"/>
      <c r="M175" s="51"/>
    </row>
    <row r="176" spans="1:13" x14ac:dyDescent="0.2">
      <c r="A176"/>
      <c r="B176"/>
      <c r="C176"/>
      <c r="D176"/>
      <c r="E176" s="7"/>
      <c r="F176"/>
      <c r="G176"/>
      <c r="H176" s="10"/>
      <c r="I176" s="10"/>
      <c r="J176" s="10"/>
      <c r="K176" s="10"/>
      <c r="L176" s="10"/>
      <c r="M176" s="51"/>
    </row>
    <row r="177" spans="1:13" x14ac:dyDescent="0.2">
      <c r="A177"/>
      <c r="B177"/>
      <c r="C177"/>
      <c r="D177"/>
      <c r="E177" s="7"/>
      <c r="F177"/>
      <c r="G177"/>
      <c r="H177" s="10"/>
      <c r="I177" s="10"/>
      <c r="J177" s="10"/>
      <c r="K177" s="10"/>
      <c r="L177" s="10"/>
      <c r="M177" s="51"/>
    </row>
    <row r="178" spans="1:13" x14ac:dyDescent="0.2">
      <c r="A178"/>
      <c r="B178"/>
      <c r="C178"/>
      <c r="D178"/>
      <c r="E178" s="7"/>
      <c r="F178"/>
      <c r="G178"/>
      <c r="H178" s="10"/>
      <c r="I178" s="10"/>
      <c r="J178" s="10"/>
      <c r="K178" s="10"/>
      <c r="L178" s="10"/>
      <c r="M178" s="51"/>
    </row>
    <row r="179" spans="1:13" x14ac:dyDescent="0.2">
      <c r="A179"/>
      <c r="B179"/>
      <c r="C179"/>
      <c r="D179"/>
      <c r="E179" s="7"/>
      <c r="F179"/>
      <c r="G179"/>
      <c r="H179" s="10"/>
      <c r="I179" s="10"/>
      <c r="J179" s="10"/>
      <c r="K179" s="10"/>
      <c r="L179" s="10"/>
      <c r="M179" s="51"/>
    </row>
    <row r="180" spans="1:13" x14ac:dyDescent="0.2">
      <c r="A180"/>
      <c r="B180"/>
      <c r="C180"/>
      <c r="D180"/>
      <c r="E180" s="7"/>
      <c r="F180"/>
      <c r="G180"/>
      <c r="H180" s="10"/>
      <c r="I180" s="10"/>
      <c r="J180" s="10"/>
      <c r="K180" s="10"/>
      <c r="L180" s="10"/>
      <c r="M180" s="51"/>
    </row>
    <row r="181" spans="1:13" x14ac:dyDescent="0.2">
      <c r="A181"/>
      <c r="B181"/>
      <c r="C181"/>
      <c r="D181"/>
      <c r="E181" s="7"/>
      <c r="F181"/>
      <c r="G181"/>
      <c r="H181" s="10"/>
      <c r="I181" s="10"/>
      <c r="J181" s="10"/>
      <c r="K181" s="10"/>
      <c r="L181" s="10"/>
      <c r="M181" s="51"/>
    </row>
    <row r="182" spans="1:13" x14ac:dyDescent="0.2">
      <c r="A182"/>
      <c r="B182"/>
      <c r="C182"/>
      <c r="D182"/>
      <c r="E182" s="7"/>
      <c r="F182"/>
      <c r="G182"/>
      <c r="H182" s="10"/>
      <c r="I182" s="10"/>
      <c r="J182" s="10"/>
      <c r="K182" s="10"/>
      <c r="L182" s="10"/>
      <c r="M182" s="51"/>
    </row>
    <row r="183" spans="1:13" x14ac:dyDescent="0.2">
      <c r="A183"/>
      <c r="B183"/>
      <c r="C183"/>
      <c r="D183"/>
      <c r="E183" s="7"/>
      <c r="F183"/>
      <c r="G183"/>
      <c r="H183" s="10"/>
      <c r="I183" s="10"/>
      <c r="J183" s="10"/>
      <c r="K183" s="10"/>
      <c r="L183" s="10"/>
      <c r="M183" s="51"/>
    </row>
    <row r="184" spans="1:13" x14ac:dyDescent="0.2">
      <c r="A184"/>
      <c r="B184"/>
      <c r="C184"/>
      <c r="D184"/>
      <c r="E184" s="7"/>
      <c r="F184"/>
      <c r="G184"/>
      <c r="H184" s="10"/>
      <c r="I184" s="10"/>
      <c r="J184" s="10"/>
      <c r="K184" s="10"/>
      <c r="L184" s="10"/>
      <c r="M184" s="51"/>
    </row>
    <row r="185" spans="1:13" x14ac:dyDescent="0.2">
      <c r="A185"/>
      <c r="B185"/>
      <c r="C185"/>
      <c r="D185"/>
      <c r="E185" s="7"/>
      <c r="F185"/>
      <c r="G185"/>
      <c r="H185" s="10"/>
      <c r="I185" s="10"/>
      <c r="J185" s="10"/>
      <c r="K185" s="10"/>
      <c r="L185" s="10"/>
      <c r="M185" s="51"/>
    </row>
    <row r="186" spans="1:13" x14ac:dyDescent="0.2">
      <c r="A186"/>
      <c r="B186"/>
      <c r="C186"/>
      <c r="D186"/>
      <c r="E186" s="7"/>
      <c r="F186"/>
      <c r="G186"/>
      <c r="H186" s="10"/>
      <c r="I186" s="10"/>
      <c r="J186" s="10"/>
      <c r="K186" s="10"/>
      <c r="L186" s="10"/>
      <c r="M186" s="51"/>
    </row>
    <row r="187" spans="1:13" x14ac:dyDescent="0.2">
      <c r="A187"/>
      <c r="B187"/>
      <c r="C187"/>
      <c r="D187"/>
      <c r="E187" s="7"/>
      <c r="F187"/>
      <c r="G187"/>
      <c r="H187" s="10"/>
      <c r="I187" s="10"/>
      <c r="J187" s="10"/>
      <c r="K187" s="10"/>
      <c r="L187" s="10"/>
      <c r="M187" s="51"/>
    </row>
    <row r="188" spans="1:13" x14ac:dyDescent="0.2">
      <c r="A188"/>
      <c r="B188"/>
      <c r="C188"/>
      <c r="D188"/>
      <c r="E188" s="7"/>
      <c r="F188"/>
      <c r="G188"/>
      <c r="H188" s="10"/>
      <c r="I188" s="10"/>
      <c r="J188" s="10"/>
      <c r="K188" s="10"/>
      <c r="L188" s="10"/>
      <c r="M188" s="51"/>
    </row>
    <row r="189" spans="1:13" x14ac:dyDescent="0.2">
      <c r="A189"/>
      <c r="B189"/>
      <c r="C189"/>
      <c r="D189"/>
      <c r="E189" s="7"/>
      <c r="F189"/>
      <c r="G189"/>
      <c r="H189" s="10"/>
      <c r="I189" s="10"/>
      <c r="J189" s="10"/>
      <c r="K189" s="10"/>
      <c r="L189" s="10"/>
      <c r="M189" s="51"/>
    </row>
    <row r="190" spans="1:13" x14ac:dyDescent="0.2">
      <c r="A190"/>
      <c r="B190"/>
      <c r="C190"/>
      <c r="D190"/>
      <c r="E190" s="7"/>
      <c r="F190"/>
      <c r="G190"/>
      <c r="H190" s="10"/>
      <c r="I190" s="10"/>
      <c r="J190" s="10"/>
      <c r="K190" s="10"/>
      <c r="L190" s="10"/>
      <c r="M190" s="51"/>
    </row>
    <row r="191" spans="1:13" x14ac:dyDescent="0.2">
      <c r="A191"/>
      <c r="B191"/>
      <c r="C191"/>
      <c r="D191"/>
      <c r="E191" s="7"/>
      <c r="F191"/>
      <c r="G191"/>
      <c r="H191" s="10"/>
      <c r="I191" s="10"/>
      <c r="J191" s="10"/>
      <c r="K191" s="10"/>
      <c r="L191" s="10"/>
      <c r="M191" s="51"/>
    </row>
    <row r="192" spans="1:13" x14ac:dyDescent="0.2">
      <c r="A192"/>
      <c r="B192"/>
      <c r="C192"/>
      <c r="D192"/>
      <c r="E192" s="7"/>
      <c r="F192"/>
      <c r="G192"/>
      <c r="H192" s="10"/>
      <c r="I192" s="10"/>
      <c r="J192" s="10"/>
      <c r="K192" s="10"/>
      <c r="L192" s="10"/>
      <c r="M192" s="51"/>
    </row>
    <row r="193" spans="1:13" x14ac:dyDescent="0.2">
      <c r="A193"/>
      <c r="B193"/>
      <c r="C193"/>
      <c r="D193"/>
      <c r="E193" s="7"/>
      <c r="F193"/>
      <c r="G193"/>
      <c r="H193" s="10"/>
      <c r="I193" s="10"/>
      <c r="J193" s="10"/>
      <c r="K193" s="10"/>
      <c r="L193" s="10"/>
      <c r="M193" s="51"/>
    </row>
    <row r="194" spans="1:13" x14ac:dyDescent="0.2">
      <c r="A194"/>
      <c r="B194"/>
      <c r="C194"/>
      <c r="D194"/>
      <c r="E194" s="7"/>
      <c r="F194"/>
      <c r="G194"/>
      <c r="H194" s="10"/>
      <c r="I194" s="10"/>
      <c r="J194" s="10"/>
      <c r="K194" s="10"/>
      <c r="L194" s="10"/>
      <c r="M194" s="51"/>
    </row>
    <row r="195" spans="1:13" x14ac:dyDescent="0.2">
      <c r="A195"/>
      <c r="B195"/>
      <c r="C195"/>
      <c r="D195"/>
      <c r="E195" s="7"/>
      <c r="F195"/>
      <c r="G195"/>
      <c r="H195" s="10"/>
      <c r="I195" s="10"/>
      <c r="J195" s="10"/>
      <c r="K195" s="10"/>
      <c r="L195" s="10"/>
      <c r="M195" s="51"/>
    </row>
    <row r="196" spans="1:13" x14ac:dyDescent="0.2">
      <c r="A196"/>
      <c r="B196"/>
      <c r="C196"/>
      <c r="D196"/>
      <c r="E196" s="7"/>
      <c r="F196"/>
      <c r="G196"/>
      <c r="H196" s="10"/>
      <c r="I196" s="10"/>
      <c r="J196" s="10"/>
      <c r="K196" s="10"/>
      <c r="L196" s="10"/>
      <c r="M196" s="51"/>
    </row>
    <row r="197" spans="1:13" x14ac:dyDescent="0.2">
      <c r="A197"/>
      <c r="B197"/>
      <c r="C197"/>
      <c r="D197"/>
      <c r="E197" s="7"/>
      <c r="F197"/>
      <c r="G197"/>
      <c r="H197" s="10"/>
      <c r="I197" s="10"/>
      <c r="J197" s="10"/>
      <c r="K197" s="10"/>
      <c r="L197" s="10"/>
      <c r="M197" s="51"/>
    </row>
    <row r="198" spans="1:13" x14ac:dyDescent="0.2">
      <c r="A198"/>
      <c r="B198"/>
      <c r="C198"/>
      <c r="D198"/>
      <c r="E198" s="7"/>
      <c r="F198"/>
      <c r="G198"/>
      <c r="H198" s="10"/>
      <c r="I198" s="10"/>
      <c r="J198" s="10"/>
      <c r="K198" s="10"/>
      <c r="L198" s="10"/>
      <c r="M198" s="51"/>
    </row>
    <row r="199" spans="1:13" x14ac:dyDescent="0.2">
      <c r="A199"/>
      <c r="B199"/>
      <c r="C199"/>
      <c r="D199"/>
      <c r="E199" s="7"/>
      <c r="F199"/>
      <c r="G199"/>
      <c r="H199" s="10"/>
      <c r="I199" s="10"/>
      <c r="J199" s="10"/>
      <c r="K199" s="10"/>
      <c r="L199" s="10"/>
      <c r="M199" s="51"/>
    </row>
    <row r="200" spans="1:13" x14ac:dyDescent="0.2">
      <c r="A200"/>
      <c r="B200"/>
      <c r="C200"/>
      <c r="D200"/>
      <c r="E200" s="7"/>
      <c r="F200"/>
      <c r="G200"/>
      <c r="H200" s="10"/>
      <c r="I200" s="10"/>
      <c r="J200" s="10"/>
      <c r="K200" s="10"/>
      <c r="L200" s="10"/>
      <c r="M200" s="51"/>
    </row>
    <row r="201" spans="1:13" x14ac:dyDescent="0.2">
      <c r="A201"/>
      <c r="B201"/>
      <c r="C201"/>
      <c r="D201"/>
      <c r="E201" s="7"/>
      <c r="F201"/>
      <c r="G201"/>
      <c r="H201" s="10"/>
      <c r="I201" s="10"/>
      <c r="J201" s="10"/>
      <c r="K201" s="10"/>
      <c r="L201" s="10"/>
      <c r="M201" s="51"/>
    </row>
    <row r="202" spans="1:13" x14ac:dyDescent="0.2">
      <c r="A202"/>
      <c r="B202"/>
      <c r="C202"/>
      <c r="D202"/>
      <c r="E202" s="7"/>
      <c r="F202"/>
      <c r="G202"/>
      <c r="H202" s="10"/>
      <c r="I202" s="10"/>
      <c r="J202" s="10"/>
      <c r="K202" s="10"/>
      <c r="L202" s="10"/>
      <c r="M202" s="51"/>
    </row>
    <row r="203" spans="1:13" x14ac:dyDescent="0.2">
      <c r="A203"/>
      <c r="B203"/>
      <c r="C203"/>
      <c r="D203"/>
      <c r="E203" s="7"/>
      <c r="F203"/>
      <c r="G203"/>
      <c r="H203" s="10"/>
      <c r="I203" s="10"/>
      <c r="J203" s="10"/>
      <c r="K203" s="10"/>
      <c r="L203" s="10"/>
      <c r="M203" s="51"/>
    </row>
    <row r="204" spans="1:13" x14ac:dyDescent="0.2">
      <c r="A204"/>
      <c r="B204"/>
      <c r="C204"/>
      <c r="D204"/>
      <c r="E204" s="7"/>
      <c r="F204"/>
      <c r="G204"/>
      <c r="H204" s="10"/>
      <c r="I204" s="10"/>
      <c r="J204" s="10"/>
      <c r="K204" s="10"/>
      <c r="L204" s="10"/>
      <c r="M204" s="51"/>
    </row>
    <row r="205" spans="1:13" x14ac:dyDescent="0.2">
      <c r="A205"/>
      <c r="B205"/>
      <c r="C205"/>
      <c r="D205"/>
      <c r="E205" s="7"/>
      <c r="F205"/>
      <c r="G205"/>
      <c r="H205" s="10"/>
      <c r="I205" s="10"/>
      <c r="J205" s="10"/>
      <c r="K205" s="10"/>
      <c r="L205" s="10"/>
      <c r="M205" s="51"/>
    </row>
    <row r="206" spans="1:13" x14ac:dyDescent="0.2">
      <c r="A206"/>
      <c r="B206"/>
      <c r="C206"/>
      <c r="D206"/>
      <c r="E206" s="7"/>
      <c r="F206"/>
      <c r="G206"/>
      <c r="H206" s="10"/>
      <c r="I206" s="10"/>
      <c r="J206" s="10"/>
      <c r="K206" s="10"/>
      <c r="L206" s="10"/>
      <c r="M206" s="51"/>
    </row>
    <row r="207" spans="1:13" x14ac:dyDescent="0.2">
      <c r="A207"/>
      <c r="B207"/>
      <c r="C207"/>
      <c r="D207"/>
      <c r="E207" s="7"/>
      <c r="F207"/>
      <c r="G207"/>
      <c r="H207" s="10"/>
      <c r="I207" s="10"/>
      <c r="J207" s="10"/>
      <c r="K207" s="10"/>
      <c r="L207" s="10"/>
      <c r="M207" s="51"/>
    </row>
    <row r="208" spans="1:13" x14ac:dyDescent="0.2">
      <c r="A208"/>
      <c r="B208"/>
      <c r="C208"/>
      <c r="D208"/>
      <c r="E208" s="7"/>
      <c r="F208"/>
      <c r="G208"/>
      <c r="H208" s="10"/>
      <c r="I208" s="10"/>
      <c r="J208" s="10"/>
      <c r="K208" s="10"/>
      <c r="L208" s="10"/>
      <c r="M208" s="51"/>
    </row>
    <row r="209" spans="1:13" x14ac:dyDescent="0.2">
      <c r="A209"/>
      <c r="B209"/>
      <c r="C209"/>
      <c r="D209"/>
      <c r="E209" s="7"/>
      <c r="F209"/>
      <c r="G209"/>
      <c r="H209" s="10"/>
      <c r="I209" s="10"/>
      <c r="J209" s="10"/>
      <c r="K209" s="10"/>
      <c r="L209" s="10"/>
      <c r="M209" s="51"/>
    </row>
    <row r="210" spans="1:13" x14ac:dyDescent="0.2">
      <c r="A210"/>
      <c r="B210"/>
      <c r="C210"/>
      <c r="D210"/>
      <c r="E210" s="7"/>
      <c r="F210"/>
      <c r="G210"/>
      <c r="H210" s="10"/>
      <c r="I210" s="10"/>
      <c r="J210" s="10"/>
      <c r="K210" s="10"/>
      <c r="L210" s="10"/>
      <c r="M210" s="51"/>
    </row>
    <row r="211" spans="1:13" x14ac:dyDescent="0.2">
      <c r="A211"/>
      <c r="B211"/>
      <c r="C211"/>
      <c r="D211"/>
      <c r="E211" s="7"/>
      <c r="F211"/>
      <c r="G211"/>
      <c r="H211" s="10"/>
      <c r="I211" s="10"/>
      <c r="J211" s="10"/>
      <c r="K211" s="10"/>
      <c r="L211" s="10"/>
      <c r="M211" s="51"/>
    </row>
    <row r="212" spans="1:13" x14ac:dyDescent="0.2">
      <c r="A212"/>
      <c r="B212"/>
      <c r="C212"/>
      <c r="D212"/>
      <c r="E212" s="7"/>
      <c r="F212"/>
      <c r="G212"/>
      <c r="H212" s="10"/>
      <c r="I212" s="10"/>
      <c r="J212" s="10"/>
      <c r="K212" s="10"/>
      <c r="L212" s="10"/>
      <c r="M212" s="51"/>
    </row>
    <row r="213" spans="1:13" x14ac:dyDescent="0.2">
      <c r="A213"/>
      <c r="B213"/>
      <c r="C213"/>
      <c r="D213"/>
      <c r="E213" s="7"/>
      <c r="F213"/>
      <c r="G213"/>
      <c r="H213" s="10"/>
      <c r="I213" s="10"/>
      <c r="J213" s="10"/>
      <c r="K213" s="10"/>
      <c r="L213" s="10"/>
      <c r="M213" s="51"/>
    </row>
    <row r="214" spans="1:13" x14ac:dyDescent="0.2">
      <c r="A214"/>
      <c r="B214"/>
      <c r="C214"/>
      <c r="D214"/>
      <c r="E214" s="7"/>
      <c r="F214"/>
      <c r="G214"/>
      <c r="H214" s="10"/>
      <c r="I214" s="10"/>
      <c r="J214" s="10"/>
      <c r="K214" s="10"/>
      <c r="L214" s="10"/>
      <c r="M214" s="51"/>
    </row>
    <row r="215" spans="1:13" x14ac:dyDescent="0.2">
      <c r="A215"/>
      <c r="B215"/>
      <c r="C215"/>
      <c r="D215"/>
      <c r="E215" s="7"/>
      <c r="F215"/>
      <c r="G215"/>
      <c r="H215" s="10"/>
      <c r="I215" s="10"/>
      <c r="J215" s="10"/>
      <c r="K215" s="10"/>
      <c r="L215" s="10"/>
      <c r="M215" s="51"/>
    </row>
    <row r="216" spans="1:13" x14ac:dyDescent="0.2">
      <c r="A216"/>
      <c r="B216"/>
      <c r="C216"/>
      <c r="D216"/>
      <c r="E216" s="7"/>
      <c r="F216"/>
      <c r="G216"/>
      <c r="H216" s="10"/>
      <c r="I216" s="10"/>
      <c r="J216" s="10"/>
      <c r="K216" s="10"/>
      <c r="L216" s="10"/>
      <c r="M216" s="51"/>
    </row>
    <row r="217" spans="1:13" x14ac:dyDescent="0.2">
      <c r="A217"/>
      <c r="B217"/>
      <c r="C217"/>
      <c r="D217"/>
      <c r="E217" s="7"/>
      <c r="F217"/>
      <c r="G217"/>
      <c r="H217" s="10"/>
      <c r="I217" s="10"/>
      <c r="J217" s="10"/>
      <c r="K217" s="10"/>
      <c r="L217" s="10"/>
      <c r="M217" s="51"/>
    </row>
    <row r="218" spans="1:13" x14ac:dyDescent="0.2">
      <c r="A218"/>
      <c r="B218"/>
      <c r="C218"/>
      <c r="D218"/>
      <c r="E218" s="7"/>
      <c r="F218"/>
      <c r="G218"/>
      <c r="H218" s="10"/>
      <c r="I218" s="10"/>
      <c r="J218" s="10"/>
      <c r="K218" s="10"/>
      <c r="L218" s="10"/>
      <c r="M218" s="51"/>
    </row>
    <row r="219" spans="1:13" x14ac:dyDescent="0.2">
      <c r="A219"/>
      <c r="B219"/>
      <c r="C219"/>
      <c r="D219"/>
      <c r="E219" s="7"/>
      <c r="F219"/>
      <c r="G219"/>
      <c r="H219" s="10"/>
      <c r="I219" s="10"/>
      <c r="J219" s="10"/>
      <c r="K219" s="10"/>
      <c r="L219" s="10"/>
      <c r="M219" s="51"/>
    </row>
    <row r="220" spans="1:13" x14ac:dyDescent="0.2">
      <c r="A220"/>
      <c r="B220"/>
      <c r="C220"/>
      <c r="D220"/>
      <c r="E220" s="7"/>
      <c r="F220"/>
      <c r="G220"/>
      <c r="H220" s="10"/>
      <c r="I220" s="10"/>
      <c r="J220" s="10"/>
      <c r="K220" s="10"/>
      <c r="L220" s="10"/>
      <c r="M220" s="51"/>
    </row>
    <row r="221" spans="1:13" x14ac:dyDescent="0.2">
      <c r="A221"/>
      <c r="B221"/>
      <c r="C221"/>
      <c r="D221"/>
      <c r="E221" s="7"/>
      <c r="F221"/>
      <c r="G221"/>
      <c r="H221" s="10"/>
      <c r="I221" s="10"/>
      <c r="J221" s="10"/>
      <c r="K221" s="10"/>
      <c r="L221" s="10"/>
      <c r="M221" s="51"/>
    </row>
    <row r="222" spans="1:13" x14ac:dyDescent="0.2">
      <c r="A222"/>
      <c r="B222"/>
      <c r="C222"/>
      <c r="D222"/>
      <c r="E222" s="7"/>
      <c r="F222"/>
      <c r="G222"/>
      <c r="H222" s="10"/>
      <c r="I222" s="10"/>
      <c r="J222" s="10"/>
      <c r="K222" s="10"/>
      <c r="L222" s="10"/>
      <c r="M222" s="51"/>
    </row>
    <row r="223" spans="1:13" x14ac:dyDescent="0.2">
      <c r="A223"/>
      <c r="B223"/>
      <c r="C223"/>
      <c r="D223"/>
      <c r="E223" s="7"/>
      <c r="F223"/>
      <c r="G223"/>
      <c r="H223" s="10"/>
      <c r="I223" s="10"/>
      <c r="J223" s="10"/>
      <c r="K223" s="10"/>
      <c r="L223" s="10"/>
      <c r="M223" s="51"/>
    </row>
    <row r="224" spans="1:13" x14ac:dyDescent="0.2">
      <c r="A224"/>
      <c r="B224"/>
      <c r="C224"/>
      <c r="D224"/>
      <c r="E224" s="7"/>
      <c r="F224"/>
      <c r="G224"/>
      <c r="H224" s="10"/>
      <c r="I224" s="10"/>
      <c r="J224" s="10"/>
      <c r="K224" s="10"/>
      <c r="L224" s="10"/>
      <c r="M224" s="51"/>
    </row>
    <row r="225" spans="1:13" x14ac:dyDescent="0.2">
      <c r="A225"/>
      <c r="B225"/>
      <c r="C225"/>
      <c r="D225"/>
      <c r="E225" s="7"/>
      <c r="F225"/>
      <c r="G225"/>
      <c r="H225" s="10"/>
      <c r="I225" s="10"/>
      <c r="J225" s="10"/>
      <c r="K225" s="10"/>
      <c r="L225" s="10"/>
      <c r="M225" s="51"/>
    </row>
    <row r="226" spans="1:13" x14ac:dyDescent="0.2">
      <c r="A226"/>
      <c r="B226"/>
      <c r="C226"/>
      <c r="D226"/>
      <c r="E226" s="7"/>
      <c r="F226"/>
      <c r="G226"/>
      <c r="H226" s="10"/>
      <c r="I226" s="10"/>
      <c r="J226" s="10"/>
      <c r="K226" s="10"/>
      <c r="L226" s="10"/>
      <c r="M226" s="51"/>
    </row>
    <row r="227" spans="1:13" x14ac:dyDescent="0.2">
      <c r="A227"/>
      <c r="B227"/>
      <c r="C227"/>
      <c r="D227"/>
      <c r="E227" s="7"/>
      <c r="F227"/>
      <c r="G227"/>
      <c r="H227" s="10"/>
      <c r="I227" s="10"/>
      <c r="J227" s="10"/>
      <c r="K227" s="10"/>
      <c r="L227" s="10"/>
      <c r="M227" s="51"/>
    </row>
    <row r="228" spans="1:13" x14ac:dyDescent="0.2">
      <c r="A228"/>
      <c r="B228"/>
      <c r="C228"/>
      <c r="D228"/>
      <c r="E228" s="7"/>
      <c r="F228"/>
      <c r="G228"/>
      <c r="H228" s="10"/>
      <c r="I228" s="10"/>
      <c r="J228" s="10"/>
      <c r="K228" s="10"/>
      <c r="L228" s="10"/>
      <c r="M228" s="51"/>
    </row>
    <row r="229" spans="1:13" x14ac:dyDescent="0.2">
      <c r="A229"/>
      <c r="B229"/>
      <c r="C229"/>
      <c r="D229"/>
      <c r="E229" s="7"/>
      <c r="F229"/>
      <c r="G229"/>
      <c r="H229" s="10"/>
      <c r="I229" s="10"/>
      <c r="J229" s="10"/>
      <c r="K229" s="10"/>
      <c r="L229" s="10"/>
      <c r="M229" s="51"/>
    </row>
    <row r="230" spans="1:13" x14ac:dyDescent="0.2">
      <c r="A230"/>
      <c r="B230"/>
      <c r="C230"/>
      <c r="D230"/>
      <c r="E230" s="7"/>
      <c r="F230"/>
      <c r="G230"/>
      <c r="H230" s="10"/>
      <c r="I230" s="10"/>
      <c r="J230" s="10"/>
      <c r="K230" s="10"/>
      <c r="L230" s="10"/>
      <c r="M230" s="51"/>
    </row>
    <row r="231" spans="1:13" x14ac:dyDescent="0.2">
      <c r="A231"/>
      <c r="B231"/>
      <c r="C231"/>
      <c r="D231"/>
      <c r="E231" s="7"/>
      <c r="F231"/>
      <c r="G231"/>
      <c r="H231" s="10"/>
      <c r="I231" s="10"/>
      <c r="J231" s="10"/>
      <c r="K231" s="10"/>
      <c r="L231" s="10"/>
      <c r="M231" s="51"/>
    </row>
    <row r="232" spans="1:13" x14ac:dyDescent="0.2">
      <c r="A232"/>
      <c r="B232"/>
      <c r="C232"/>
      <c r="D232"/>
      <c r="E232" s="7"/>
      <c r="F232"/>
      <c r="G232"/>
      <c r="H232" s="10"/>
      <c r="I232" s="10"/>
      <c r="J232" s="10"/>
      <c r="K232" s="10"/>
      <c r="L232" s="10"/>
      <c r="M232" s="51"/>
    </row>
    <row r="233" spans="1:13" x14ac:dyDescent="0.2">
      <c r="A233"/>
      <c r="B233"/>
      <c r="C233"/>
      <c r="D233"/>
      <c r="E233" s="7"/>
      <c r="F233"/>
      <c r="G233"/>
      <c r="H233" s="10"/>
      <c r="I233" s="10"/>
      <c r="J233" s="10"/>
      <c r="K233" s="10"/>
      <c r="L233" s="10"/>
      <c r="M233" s="51"/>
    </row>
    <row r="234" spans="1:13" x14ac:dyDescent="0.2">
      <c r="A234"/>
      <c r="B234"/>
      <c r="C234"/>
      <c r="D234"/>
      <c r="E234" s="7"/>
      <c r="F234"/>
      <c r="G234"/>
      <c r="H234" s="10"/>
      <c r="I234" s="10"/>
      <c r="J234" s="10"/>
      <c r="K234" s="10"/>
      <c r="L234" s="10"/>
      <c r="M234" s="51"/>
    </row>
    <row r="235" spans="1:13" x14ac:dyDescent="0.2">
      <c r="A235"/>
      <c r="B235"/>
      <c r="C235"/>
      <c r="D235"/>
      <c r="E235" s="7"/>
      <c r="F235"/>
      <c r="G235"/>
      <c r="H235" s="10"/>
      <c r="I235" s="10"/>
      <c r="J235" s="10"/>
      <c r="K235" s="10"/>
      <c r="L235" s="10"/>
      <c r="M235" s="51"/>
    </row>
    <row r="236" spans="1:13" x14ac:dyDescent="0.2">
      <c r="A236"/>
      <c r="B236"/>
      <c r="C236"/>
      <c r="D236"/>
      <c r="E236" s="7"/>
      <c r="F236"/>
      <c r="G236"/>
      <c r="H236" s="10"/>
      <c r="I236" s="10"/>
      <c r="J236" s="10"/>
      <c r="K236" s="10"/>
      <c r="L236" s="10"/>
      <c r="M236" s="51"/>
    </row>
  </sheetData>
  <autoFilter ref="A1:M236"/>
  <pageMargins left="0.75" right="0.75" top="1" bottom="1" header="0.5" footer="0.5"/>
  <pageSetup scale="7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A89DAEAB4EE94F9F6D844AB6C4851A" ma:contentTypeVersion="0" ma:contentTypeDescription="Create a new document." ma:contentTypeScope="" ma:versionID="77707e010c71090bb9371aee90044df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67AEA1-F1B1-4E9F-BD9E-9DFB6D959D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10519ED-9C6E-4B5B-B6C6-AFDABEB420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22</vt:i4>
      </vt:variant>
    </vt:vector>
  </HeadingPairs>
  <TitlesOfParts>
    <vt:vector size="22" baseType="lpstr">
      <vt:lpstr>FL65</vt:lpstr>
      <vt:lpstr>FL65A</vt:lpstr>
      <vt:lpstr>FL65B</vt:lpstr>
      <vt:lpstr>FL65C</vt:lpstr>
      <vt:lpstr>FL66</vt:lpstr>
      <vt:lpstr>FL67</vt:lpstr>
      <vt:lpstr>FL67A</vt:lpstr>
      <vt:lpstr>FL67B</vt:lpstr>
      <vt:lpstr>FL67C</vt:lpstr>
      <vt:lpstr>FL68</vt:lpstr>
      <vt:lpstr>FL68A</vt:lpstr>
      <vt:lpstr>FL68B</vt:lpstr>
      <vt:lpstr>FL68C</vt:lpstr>
      <vt:lpstr>FL69</vt:lpstr>
      <vt:lpstr>FL69A</vt:lpstr>
      <vt:lpstr>FL69B</vt:lpstr>
      <vt:lpstr>FL69C</vt:lpstr>
      <vt:lpstr>FL70</vt:lpstr>
      <vt:lpstr>FL70A</vt:lpstr>
      <vt:lpstr>FL70B</vt:lpstr>
      <vt:lpstr>FL70C</vt:lpstr>
      <vt:lpstr>BUOY1</vt:lpstr>
    </vt:vector>
  </TitlesOfParts>
  <Manager/>
  <Company>Rijkswaterstaat, Directie IJsselmeergebied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Houtribdijk_OenM_Logboek-Meetpalen</dc:title>
  <dc:subject/>
  <dc:creator>Kramer</dc:creator>
  <cp:keywords/>
  <dc:description/>
  <cp:lastModifiedBy>Mol, Jan-Willem (CIV)</cp:lastModifiedBy>
  <dcterms:created xsi:type="dcterms:W3CDTF">2011-02-18T08:36:33Z</dcterms:created>
  <dcterms:modified xsi:type="dcterms:W3CDTF">2021-04-01T12:41:15Z</dcterms:modified>
  <cp:category/>
  <cp:contentStatus/>
</cp:coreProperties>
</file>